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90" windowWidth="15480" windowHeight="11415" activeTab="1"/>
  </bookViews>
  <sheets>
    <sheet name="WgC - 1 bis 6 Analysen" sheetId="1" r:id="rId1"/>
    <sheet name="WgC - mehr als 6 Analysen (&lt;21)" sheetId="4" r:id="rId2"/>
    <sheet name="Erläuterung" sheetId="5" r:id="rId3"/>
  </sheets>
  <definedNames>
    <definedName name="_xlnm.Print_Area" localSheetId="2">Erläuterung!$A$1:$H$116</definedName>
    <definedName name="_xlnm.Print_Area" localSheetId="0">'WgC - 1 bis 6 Analysen'!$A$1:$O$56</definedName>
    <definedName name="_xlnm.Print_Area" localSheetId="1">'WgC - mehr als 6 Analysen (&lt;21)'!$A$1:$AC$54</definedName>
  </definedNames>
  <calcPr calcId="145621"/>
</workbook>
</file>

<file path=xl/calcChain.xml><?xml version="1.0" encoding="utf-8"?>
<calcChain xmlns="http://schemas.openxmlformats.org/spreadsheetml/2006/main">
  <c r="L14" i="1" l="1"/>
  <c r="L13" i="1" l="1"/>
  <c r="AB11" i="4" l="1"/>
  <c r="N11" i="1"/>
  <c r="Z47" i="4" l="1"/>
  <c r="AC47" i="4" s="1"/>
  <c r="AB48" i="4"/>
  <c r="Z48" i="4" s="1"/>
  <c r="AC48" i="4" s="1"/>
  <c r="Y48" i="4"/>
  <c r="X48" i="4"/>
  <c r="AB49" i="4"/>
  <c r="Z49" i="4"/>
  <c r="AB50" i="4"/>
  <c r="Z50" i="4"/>
  <c r="AB51" i="4"/>
  <c r="Z51" i="4"/>
  <c r="AC51" i="4" s="1"/>
  <c r="AB52" i="4"/>
  <c r="Z52" i="4"/>
  <c r="AB53" i="4"/>
  <c r="Z53" i="4"/>
  <c r="Z46" i="4"/>
  <c r="AC46" i="4" s="1"/>
  <c r="AB25" i="4"/>
  <c r="Z25" i="4"/>
  <c r="AC25" i="4" s="1"/>
  <c r="AB26" i="4"/>
  <c r="Z26" i="4" s="1"/>
  <c r="AB27" i="4"/>
  <c r="Z27" i="4"/>
  <c r="AA27" i="4" s="1"/>
  <c r="AB28" i="4"/>
  <c r="Z28" i="4" s="1"/>
  <c r="AB29" i="4"/>
  <c r="Z29" i="4"/>
  <c r="AC29" i="4" s="1"/>
  <c r="AB30" i="4"/>
  <c r="Z30" i="4" s="1"/>
  <c r="AB31" i="4"/>
  <c r="Z31" i="4"/>
  <c r="AB32" i="4"/>
  <c r="Z32" i="4" s="1"/>
  <c r="AB33" i="4"/>
  <c r="Z33" i="4"/>
  <c r="AB34" i="4"/>
  <c r="Z34" i="4" s="1"/>
  <c r="AB35" i="4"/>
  <c r="Z35" i="4"/>
  <c r="AA35" i="4" s="1"/>
  <c r="AB36" i="4"/>
  <c r="Z36" i="4" s="1"/>
  <c r="AB37" i="4"/>
  <c r="Z37" i="4"/>
  <c r="AA37" i="4" s="1"/>
  <c r="AB38" i="4"/>
  <c r="Z38" i="4" s="1"/>
  <c r="AB39" i="4"/>
  <c r="Z39" i="4"/>
  <c r="AB40" i="4"/>
  <c r="Z40" i="4" s="1"/>
  <c r="AA40" i="4" s="1"/>
  <c r="AB41" i="4"/>
  <c r="Z41" i="4"/>
  <c r="AC41" i="4" s="1"/>
  <c r="AB42" i="4"/>
  <c r="Z42" i="4" s="1"/>
  <c r="AA42" i="4" s="1"/>
  <c r="AB43" i="4"/>
  <c r="Z43" i="4" s="1"/>
  <c r="AA43" i="4" s="1"/>
  <c r="AB44" i="4"/>
  <c r="AC44" i="4" s="1"/>
  <c r="AB24" i="4"/>
  <c r="Z24" i="4"/>
  <c r="AA24" i="4" s="1"/>
  <c r="AB9" i="4"/>
  <c r="AB10" i="4"/>
  <c r="Z10" i="4" s="1"/>
  <c r="AA10" i="4" s="1"/>
  <c r="Z11" i="4"/>
  <c r="AC11" i="4" s="1"/>
  <c r="AB12" i="4"/>
  <c r="AC12" i="4" s="1"/>
  <c r="AB13" i="4"/>
  <c r="AC13" i="4" s="1"/>
  <c r="AB14" i="4"/>
  <c r="AB15" i="4"/>
  <c r="AC15" i="4" s="1"/>
  <c r="AB16" i="4"/>
  <c r="AC16" i="4" s="1"/>
  <c r="AB17" i="4"/>
  <c r="AC17" i="4" s="1"/>
  <c r="AB18" i="4"/>
  <c r="AC18" i="4" s="1"/>
  <c r="AB19" i="4"/>
  <c r="AC19" i="4" s="1"/>
  <c r="AB20" i="4"/>
  <c r="AC20" i="4" s="1"/>
  <c r="AB21" i="4"/>
  <c r="AC21" i="4" s="1"/>
  <c r="AB8" i="4"/>
  <c r="Y8" i="4"/>
  <c r="X8" i="4"/>
  <c r="Z8" i="4" s="1"/>
  <c r="AB6" i="4"/>
  <c r="Y6" i="4"/>
  <c r="Z6" i="4" s="1"/>
  <c r="X6" i="4"/>
  <c r="AB5" i="4"/>
  <c r="Y5" i="4"/>
  <c r="X5" i="4"/>
  <c r="J47" i="1"/>
  <c r="K47" i="1"/>
  <c r="L47" i="1"/>
  <c r="M47" i="1" s="1"/>
  <c r="J48" i="1"/>
  <c r="K48" i="1"/>
  <c r="N48" i="1"/>
  <c r="L48" i="1" s="1"/>
  <c r="J49" i="1"/>
  <c r="K49" i="1"/>
  <c r="L49" i="1"/>
  <c r="N49" i="1"/>
  <c r="J50" i="1"/>
  <c r="K50" i="1"/>
  <c r="L50" i="1"/>
  <c r="O50" i="1" s="1"/>
  <c r="N50" i="1"/>
  <c r="J51" i="1"/>
  <c r="K51" i="1"/>
  <c r="L51" i="1"/>
  <c r="N51" i="1"/>
  <c r="J52" i="1"/>
  <c r="K52" i="1"/>
  <c r="L52" i="1"/>
  <c r="N52" i="1"/>
  <c r="J53" i="1"/>
  <c r="K53" i="1"/>
  <c r="L53" i="1"/>
  <c r="N53" i="1"/>
  <c r="L46" i="1"/>
  <c r="M46" i="1" s="1"/>
  <c r="K46" i="1"/>
  <c r="J46" i="1"/>
  <c r="J25" i="1"/>
  <c r="K25" i="1"/>
  <c r="N25" i="1"/>
  <c r="L25" i="1"/>
  <c r="O25" i="1" s="1"/>
  <c r="J26" i="1"/>
  <c r="K26" i="1"/>
  <c r="N26" i="1"/>
  <c r="L26" i="1"/>
  <c r="J27" i="1"/>
  <c r="K27" i="1"/>
  <c r="N27" i="1"/>
  <c r="L27" i="1"/>
  <c r="J28" i="1"/>
  <c r="K28" i="1"/>
  <c r="N28" i="1"/>
  <c r="L28" i="1"/>
  <c r="J29" i="1"/>
  <c r="K29" i="1"/>
  <c r="N29" i="1"/>
  <c r="L29" i="1"/>
  <c r="J30" i="1"/>
  <c r="K30" i="1"/>
  <c r="N30" i="1"/>
  <c r="L30" i="1"/>
  <c r="J31" i="1"/>
  <c r="K31" i="1"/>
  <c r="N31" i="1"/>
  <c r="L31" i="1"/>
  <c r="J32" i="1"/>
  <c r="K32" i="1"/>
  <c r="N32" i="1"/>
  <c r="L32" i="1"/>
  <c r="J33" i="1"/>
  <c r="K33" i="1"/>
  <c r="N33" i="1"/>
  <c r="L33" i="1"/>
  <c r="J34" i="1"/>
  <c r="K34" i="1"/>
  <c r="N34" i="1"/>
  <c r="L34" i="1"/>
  <c r="J35" i="1"/>
  <c r="K35" i="1"/>
  <c r="N35" i="1"/>
  <c r="L35" i="1"/>
  <c r="J36" i="1"/>
  <c r="K36" i="1"/>
  <c r="N36" i="1"/>
  <c r="L36" i="1"/>
  <c r="J37" i="1"/>
  <c r="K37" i="1"/>
  <c r="N37" i="1"/>
  <c r="L37" i="1"/>
  <c r="J38" i="1"/>
  <c r="K38" i="1"/>
  <c r="N38" i="1"/>
  <c r="L38" i="1"/>
  <c r="J39" i="1"/>
  <c r="K39" i="1"/>
  <c r="N39" i="1"/>
  <c r="L39" i="1"/>
  <c r="J40" i="1"/>
  <c r="K40" i="1"/>
  <c r="N40" i="1"/>
  <c r="L40" i="1"/>
  <c r="J41" i="1"/>
  <c r="K41" i="1"/>
  <c r="L41" i="1"/>
  <c r="N41" i="1"/>
  <c r="J42" i="1"/>
  <c r="K42" i="1"/>
  <c r="N42" i="1"/>
  <c r="L42" i="1"/>
  <c r="J43" i="1"/>
  <c r="K43" i="1"/>
  <c r="N43" i="1"/>
  <c r="L43" i="1"/>
  <c r="J44" i="1"/>
  <c r="K44" i="1"/>
  <c r="N44" i="1"/>
  <c r="M44" i="1" s="1"/>
  <c r="L44" i="1"/>
  <c r="N24" i="1"/>
  <c r="L24" i="1"/>
  <c r="K24" i="1"/>
  <c r="J24" i="1"/>
  <c r="J23" i="1"/>
  <c r="K23" i="1"/>
  <c r="N23" i="1"/>
  <c r="L23" i="1" s="1"/>
  <c r="J9" i="1"/>
  <c r="K9" i="1"/>
  <c r="N9" i="1"/>
  <c r="L9" i="1" s="1"/>
  <c r="J10" i="1"/>
  <c r="K10" i="1"/>
  <c r="L10" i="1" s="1"/>
  <c r="N10" i="1"/>
  <c r="J11" i="1"/>
  <c r="K11" i="1"/>
  <c r="L11" i="1"/>
  <c r="J12" i="1"/>
  <c r="K12" i="1"/>
  <c r="N12" i="1"/>
  <c r="M12" i="1" s="1"/>
  <c r="J13" i="1"/>
  <c r="K13" i="1"/>
  <c r="N13" i="1"/>
  <c r="M13" i="1" s="1"/>
  <c r="J14" i="1"/>
  <c r="K14" i="1"/>
  <c r="N14" i="1"/>
  <c r="J15" i="1"/>
  <c r="K15" i="1"/>
  <c r="N15" i="1"/>
  <c r="M15" i="1" s="1"/>
  <c r="L15" i="1"/>
  <c r="J16" i="1"/>
  <c r="K16" i="1"/>
  <c r="N16" i="1"/>
  <c r="M16" i="1" s="1"/>
  <c r="L16" i="1"/>
  <c r="J17" i="1"/>
  <c r="K17" i="1"/>
  <c r="N17" i="1"/>
  <c r="O17" i="1" s="1"/>
  <c r="L17" i="1"/>
  <c r="J18" i="1"/>
  <c r="K18" i="1"/>
  <c r="N18" i="1"/>
  <c r="M18" i="1" s="1"/>
  <c r="L18" i="1"/>
  <c r="J19" i="1"/>
  <c r="K19" i="1"/>
  <c r="N19" i="1"/>
  <c r="M19" i="1" s="1"/>
  <c r="L19" i="1"/>
  <c r="J20" i="1"/>
  <c r="K20" i="1"/>
  <c r="N20" i="1"/>
  <c r="M20" i="1" s="1"/>
  <c r="L20" i="1"/>
  <c r="J21" i="1"/>
  <c r="K21" i="1"/>
  <c r="N21" i="1"/>
  <c r="M21" i="1" s="1"/>
  <c r="L21" i="1"/>
  <c r="N8" i="1"/>
  <c r="L8" i="1" s="1"/>
  <c r="K8" i="1"/>
  <c r="J8" i="1"/>
  <c r="K6" i="1"/>
  <c r="J6" i="1"/>
  <c r="N6" i="1"/>
  <c r="K5" i="1"/>
  <c r="J5" i="1"/>
  <c r="N5" i="1"/>
  <c r="O47" i="1"/>
  <c r="O46" i="1"/>
  <c r="O16" i="1"/>
  <c r="AA44" i="4"/>
  <c r="X9" i="4"/>
  <c r="Y9" i="4"/>
  <c r="X10" i="4"/>
  <c r="Y10" i="4"/>
  <c r="X11" i="4"/>
  <c r="Y11" i="4"/>
  <c r="X12" i="4"/>
  <c r="Y12" i="4"/>
  <c r="Z12" i="4"/>
  <c r="X13" i="4"/>
  <c r="Y13" i="4"/>
  <c r="Z13" i="4"/>
  <c r="X14" i="4"/>
  <c r="Y14" i="4"/>
  <c r="Z14" i="4" s="1"/>
  <c r="X15" i="4"/>
  <c r="Y15" i="4"/>
  <c r="Z15" i="4"/>
  <c r="X16" i="4"/>
  <c r="Y16" i="4"/>
  <c r="Z16" i="4"/>
  <c r="X17" i="4"/>
  <c r="Y17" i="4"/>
  <c r="Z17" i="4"/>
  <c r="X18" i="4"/>
  <c r="Y18" i="4"/>
  <c r="Z18" i="4"/>
  <c r="X19" i="4"/>
  <c r="Y19" i="4"/>
  <c r="Z19" i="4"/>
  <c r="X20" i="4"/>
  <c r="Y20" i="4"/>
  <c r="Z20" i="4"/>
  <c r="X21" i="4"/>
  <c r="Y21" i="4"/>
  <c r="Z21" i="4"/>
  <c r="X23" i="4"/>
  <c r="Y23" i="4"/>
  <c r="AB23" i="4"/>
  <c r="Z23" i="4" s="1"/>
  <c r="X24" i="4"/>
  <c r="Y24" i="4"/>
  <c r="X25" i="4"/>
  <c r="Y25" i="4"/>
  <c r="X26" i="4"/>
  <c r="Y26" i="4"/>
  <c r="X27" i="4"/>
  <c r="Y27" i="4"/>
  <c r="X28" i="4"/>
  <c r="Y28" i="4"/>
  <c r="X29" i="4"/>
  <c r="Y29" i="4"/>
  <c r="X30" i="4"/>
  <c r="Y30" i="4"/>
  <c r="X31" i="4"/>
  <c r="Y31" i="4"/>
  <c r="X32" i="4"/>
  <c r="Y32" i="4"/>
  <c r="X33" i="4"/>
  <c r="Y33" i="4"/>
  <c r="X34" i="4"/>
  <c r="Y34" i="4"/>
  <c r="X35" i="4"/>
  <c r="Y35" i="4"/>
  <c r="X36" i="4"/>
  <c r="Y36" i="4"/>
  <c r="X37" i="4"/>
  <c r="Y37" i="4"/>
  <c r="X38" i="4"/>
  <c r="Y38" i="4"/>
  <c r="X39" i="4"/>
  <c r="Y39" i="4"/>
  <c r="X40" i="4"/>
  <c r="Y40" i="4"/>
  <c r="X41" i="4"/>
  <c r="Y41" i="4"/>
  <c r="X42" i="4"/>
  <c r="Y42" i="4"/>
  <c r="X43" i="4"/>
  <c r="Y43" i="4"/>
  <c r="X44" i="4"/>
  <c r="Y44" i="4"/>
  <c r="Z44" i="4"/>
  <c r="X46" i="4"/>
  <c r="Y46" i="4"/>
  <c r="X47" i="4"/>
  <c r="Y47" i="4"/>
  <c r="X49" i="4"/>
  <c r="Y49" i="4"/>
  <c r="X50" i="4"/>
  <c r="Y50" i="4"/>
  <c r="X51" i="4"/>
  <c r="Y51" i="4"/>
  <c r="X52" i="4"/>
  <c r="Y52" i="4"/>
  <c r="X53" i="4"/>
  <c r="Y53" i="4"/>
  <c r="AA19" i="4"/>
  <c r="AA13" i="4" l="1"/>
  <c r="O18" i="1"/>
  <c r="L12" i="1"/>
  <c r="O52" i="1"/>
  <c r="O35" i="1"/>
  <c r="O10" i="1"/>
  <c r="AC38" i="4"/>
  <c r="AA36" i="4"/>
  <c r="AA34" i="4"/>
  <c r="AA32" i="4"/>
  <c r="AC30" i="4"/>
  <c r="AA28" i="4"/>
  <c r="AA26" i="4"/>
  <c r="AA18" i="4"/>
  <c r="O43" i="1"/>
  <c r="O41" i="1"/>
  <c r="M40" i="1"/>
  <c r="O39" i="1"/>
  <c r="M38" i="1"/>
  <c r="O37" i="1"/>
  <c r="O31" i="1"/>
  <c r="O27" i="1"/>
  <c r="O48" i="1"/>
  <c r="M14" i="1"/>
  <c r="O42" i="1"/>
  <c r="Z5" i="4"/>
  <c r="AC5" i="4" s="1"/>
  <c r="AA12" i="4"/>
  <c r="AA17" i="4"/>
  <c r="AA41" i="4"/>
  <c r="AC39" i="4"/>
  <c r="AC37" i="4"/>
  <c r="AA33" i="4"/>
  <c r="AC31" i="4"/>
  <c r="AA30" i="4"/>
  <c r="AA38" i="4"/>
  <c r="AA15" i="4"/>
  <c r="AA21" i="4"/>
  <c r="AA14" i="4"/>
  <c r="AC36" i="4"/>
  <c r="AC28" i="4"/>
  <c r="AC52" i="4"/>
  <c r="AC50" i="4"/>
  <c r="AC53" i="4"/>
  <c r="AC33" i="4"/>
  <c r="AA25" i="4"/>
  <c r="AA29" i="4"/>
  <c r="AA20" i="4"/>
  <c r="AA11" i="4"/>
  <c r="AC42" i="4"/>
  <c r="AC40" i="4"/>
  <c r="AC35" i="4"/>
  <c r="AA31" i="4"/>
  <c r="AA39" i="4"/>
  <c r="AA16" i="4"/>
  <c r="AC10" i="4"/>
  <c r="AC24" i="4"/>
  <c r="AC43" i="4"/>
  <c r="AC34" i="4"/>
  <c r="AC32" i="4"/>
  <c r="AC27" i="4"/>
  <c r="AC49" i="4"/>
  <c r="O13" i="1"/>
  <c r="M50" i="1"/>
  <c r="O12" i="1"/>
  <c r="O21" i="1"/>
  <c r="O44" i="1"/>
  <c r="M8" i="1"/>
  <c r="M10" i="1"/>
  <c r="M24" i="1"/>
  <c r="O33" i="1"/>
  <c r="O30" i="1"/>
  <c r="O29" i="1"/>
  <c r="O28" i="1"/>
  <c r="M27" i="1"/>
  <c r="M51" i="1"/>
  <c r="M49" i="1"/>
  <c r="M48" i="1"/>
  <c r="AC26" i="4"/>
  <c r="AC14" i="4"/>
  <c r="O34" i="1"/>
  <c r="M32" i="1"/>
  <c r="M30" i="1"/>
  <c r="O26" i="1"/>
  <c r="O53" i="1"/>
  <c r="M43" i="1"/>
  <c r="O38" i="1"/>
  <c r="O36" i="1"/>
  <c r="M35" i="1"/>
  <c r="M34" i="1"/>
  <c r="M33" i="1"/>
  <c r="M25" i="1"/>
  <c r="M17" i="1"/>
  <c r="M42" i="1"/>
  <c r="M26" i="1"/>
  <c r="O8" i="1"/>
  <c r="O20" i="1"/>
  <c r="O51" i="1"/>
  <c r="M41" i="1"/>
  <c r="M39" i="1"/>
  <c r="M29" i="1"/>
  <c r="M28" i="1"/>
  <c r="M53" i="1"/>
  <c r="M52" i="1"/>
  <c r="O24" i="1"/>
  <c r="O32" i="1"/>
  <c r="O40" i="1"/>
  <c r="O49" i="1"/>
  <c r="M37" i="1"/>
  <c r="M36" i="1"/>
  <c r="M31" i="1"/>
  <c r="L5" i="1"/>
  <c r="O5" i="1" s="1"/>
  <c r="M11" i="1"/>
  <c r="AC8" i="4"/>
  <c r="AA8" i="4"/>
  <c r="M9" i="1"/>
  <c r="O9" i="1"/>
  <c r="AA6" i="4"/>
  <c r="AC6" i="4"/>
  <c r="L6" i="1"/>
  <c r="M6" i="1" s="1"/>
  <c r="Z9" i="4"/>
  <c r="AA9" i="4" s="1"/>
  <c r="O11" i="1"/>
  <c r="O15" i="1"/>
  <c r="O19" i="1"/>
  <c r="O14" i="1" l="1"/>
  <c r="AA5" i="4"/>
  <c r="M5" i="1"/>
  <c r="O6" i="1"/>
  <c r="AC9" i="4"/>
</calcChain>
</file>

<file path=xl/sharedStrings.xml><?xml version="1.0" encoding="utf-8"?>
<sst xmlns="http://schemas.openxmlformats.org/spreadsheetml/2006/main" count="334" uniqueCount="144">
  <si>
    <t>Parameter</t>
  </si>
  <si>
    <t>Nr.</t>
  </si>
  <si>
    <t>[Probenbezeichnung]</t>
  </si>
  <si>
    <t>Ergebnisse der Laboruntersuchungen</t>
  </si>
  <si>
    <t>Glühverlust</t>
  </si>
  <si>
    <t>TOC</t>
  </si>
  <si>
    <t>MKW (C10 - C40)</t>
  </si>
  <si>
    <t>Benzo(a)pyren</t>
  </si>
  <si>
    <t>Säureneutralisations-
kapazität</t>
  </si>
  <si>
    <t>∑ BTEX</t>
  </si>
  <si>
    <t>Blei</t>
  </si>
  <si>
    <t>Cadmium</t>
  </si>
  <si>
    <t>Chrom</t>
  </si>
  <si>
    <t>Kupfer</t>
  </si>
  <si>
    <t>Nickel</t>
  </si>
  <si>
    <t>Quecksilber</t>
  </si>
  <si>
    <t>Zink</t>
  </si>
  <si>
    <t>Feststoffkriterien</t>
  </si>
  <si>
    <t>Eluatkriterien</t>
  </si>
  <si>
    <t>∑ PAK n. EPA</t>
  </si>
  <si>
    <t>extrahierbare lipophile Stoffe</t>
  </si>
  <si>
    <t>Phenole</t>
  </si>
  <si>
    <t>Arsen</t>
  </si>
  <si>
    <t>Fluorid</t>
  </si>
  <si>
    <t>Barium</t>
  </si>
  <si>
    <t>Chrom, gesamt</t>
  </si>
  <si>
    <t>Molybdän</t>
  </si>
  <si>
    <t>Selen</t>
  </si>
  <si>
    <t>elektrische Leitfähigkeit</t>
  </si>
  <si>
    <t>Antimon</t>
  </si>
  <si>
    <t>Gesamtgehalt an gelösten Feststoffen</t>
  </si>
  <si>
    <t>Chlorid</t>
  </si>
  <si>
    <t>Sulfat</t>
  </si>
  <si>
    <t>WgC</t>
  </si>
  <si>
    <t>organ. Anteil (TS d. OS)</t>
  </si>
  <si>
    <t>MP 5</t>
  </si>
  <si>
    <t>MP 6</t>
  </si>
  <si>
    <t>Statistik</t>
  </si>
  <si>
    <t>1.1</t>
  </si>
  <si>
    <t>1.2</t>
  </si>
  <si>
    <t>2.1</t>
  </si>
  <si>
    <t>2.2</t>
  </si>
  <si>
    <t>2.3</t>
  </si>
  <si>
    <t>2.4</t>
  </si>
  <si>
    <t>2.5</t>
  </si>
  <si>
    <t>2.6</t>
  </si>
  <si>
    <t>2.7</t>
  </si>
  <si>
    <t>2.8</t>
  </si>
  <si>
    <t>2.9</t>
  </si>
  <si>
    <t>2.10</t>
  </si>
  <si>
    <t>2.11</t>
  </si>
  <si>
    <t>2.12</t>
  </si>
  <si>
    <t>2.13</t>
  </si>
  <si>
    <t>2.14</t>
  </si>
  <si>
    <t>3.1</t>
  </si>
  <si>
    <t>3.2</t>
  </si>
  <si>
    <t>3.3</t>
  </si>
  <si>
    <t>3.4</t>
  </si>
  <si>
    <t>3.5</t>
  </si>
  <si>
    <t>3.6</t>
  </si>
  <si>
    <t>3.7</t>
  </si>
  <si>
    <t>3.8</t>
  </si>
  <si>
    <t>3.9</t>
  </si>
  <si>
    <t>3.10</t>
  </si>
  <si>
    <t>3.11</t>
  </si>
  <si>
    <t>3.12</t>
  </si>
  <si>
    <t>3.13</t>
  </si>
  <si>
    <t>3.14</t>
  </si>
  <si>
    <t>3.15</t>
  </si>
  <si>
    <t>3.16</t>
  </si>
  <si>
    <t>3.17</t>
  </si>
  <si>
    <t>3.19</t>
  </si>
  <si>
    <t>3.20</t>
  </si>
  <si>
    <t>3.21</t>
  </si>
  <si>
    <t>M.-%</t>
  </si>
  <si>
    <t>mg/kg</t>
  </si>
  <si>
    <t>mmol/
kg</t>
  </si>
  <si>
    <t>mg/l</t>
  </si>
  <si>
    <t>μS/cm</t>
  </si>
  <si>
    <t>sonstige Parameter</t>
  </si>
  <si>
    <t>PCDD/F</t>
  </si>
  <si>
    <t>ng/ kg</t>
  </si>
  <si>
    <t>Glyphosat + AMPA</t>
  </si>
  <si>
    <t>μg/l</t>
  </si>
  <si>
    <t>Einzelsubstanz Herbizide</t>
  </si>
  <si>
    <t>LHKW</t>
  </si>
  <si>
    <t>Atmungsaktivität AT4</t>
  </si>
  <si>
    <t>kJ/ kg</t>
  </si>
  <si>
    <t>4.1</t>
  </si>
  <si>
    <t>4.2</t>
  </si>
  <si>
    <t>4.3</t>
  </si>
  <si>
    <t>4.4</t>
  </si>
  <si>
    <t>4.5</t>
  </si>
  <si>
    <t>4.6</t>
  </si>
  <si>
    <t>4.7</t>
  </si>
  <si>
    <t>20 % d. Mittel-wertes</t>
  </si>
  <si>
    <t>Standard-abwei-chung</t>
  </si>
  <si>
    <t>verantwortliche Erklärung zur Auswertung/ Datum, Unterschrift</t>
  </si>
  <si>
    <t>ZW DK</t>
  </si>
  <si>
    <r>
      <t>Wert der grundlegenden Charakterisierung</t>
    </r>
    <r>
      <rPr>
        <b/>
        <sz val="10"/>
        <rFont val="Arial"/>
        <family val="2"/>
      </rPr>
      <t/>
    </r>
  </si>
  <si>
    <t>pH-Wert</t>
  </si>
  <si>
    <t>DOC</t>
  </si>
  <si>
    <t>3.18a</t>
  </si>
  <si>
    <t>3.18b</t>
  </si>
  <si>
    <t>WgC manuell</t>
  </si>
  <si>
    <t>4.8</t>
  </si>
  <si>
    <t>PFOS</t>
  </si>
  <si>
    <t>mg/ kg</t>
  </si>
  <si>
    <t>MP
3</t>
  </si>
  <si>
    <t>MP
4</t>
  </si>
  <si>
    <t>MP
5</t>
  </si>
  <si>
    <t>MP
6</t>
  </si>
  <si>
    <t>MP
7</t>
  </si>
  <si>
    <t>MP
8</t>
  </si>
  <si>
    <t>MP
9</t>
  </si>
  <si>
    <t>MP
10</t>
  </si>
  <si>
    <t>MP
11</t>
  </si>
  <si>
    <t>MP
12</t>
  </si>
  <si>
    <t>MP
13</t>
  </si>
  <si>
    <t>MP
14</t>
  </si>
  <si>
    <t>MP
15</t>
  </si>
  <si>
    <t>MP
16</t>
  </si>
  <si>
    <t>MP
17</t>
  </si>
  <si>
    <t>MP
18</t>
  </si>
  <si>
    <t>MP
19</t>
  </si>
  <si>
    <t>MP
20</t>
  </si>
  <si>
    <t>20% d. Mittel-wertes</t>
  </si>
  <si>
    <t>Homo- genität</t>
  </si>
  <si>
    <t>Einheit</t>
  </si>
  <si>
    <t>PCB (∑ 7 PCB-Kongenere)</t>
  </si>
  <si>
    <t>Cyanid, leicht freisetzbar</t>
  </si>
  <si>
    <r>
      <t>Antimon - C</t>
    </r>
    <r>
      <rPr>
        <vertAlign val="subscript"/>
        <sz val="11"/>
        <rFont val="Arial"/>
        <family val="2"/>
      </rPr>
      <t>O</t>
    </r>
    <r>
      <rPr>
        <sz val="11"/>
        <rFont val="Arial"/>
        <family val="2"/>
      </rPr>
      <t>-Wert</t>
    </r>
  </si>
  <si>
    <r>
      <t>Brennwert (H</t>
    </r>
    <r>
      <rPr>
        <vertAlign val="subscript"/>
        <sz val="11"/>
        <rFont val="Arial"/>
        <family val="2"/>
      </rPr>
      <t>o</t>
    </r>
    <r>
      <rPr>
        <sz val="11"/>
        <rFont val="Arial"/>
        <family val="2"/>
      </rPr>
      <t>)</t>
    </r>
  </si>
  <si>
    <r>
      <t>mg O</t>
    </r>
    <r>
      <rPr>
        <vertAlign val="subscript"/>
        <sz val="11"/>
        <rFont val="Arial"/>
        <family val="2"/>
      </rPr>
      <t>2</t>
    </r>
    <r>
      <rPr>
        <sz val="11"/>
        <rFont val="Arial"/>
        <family val="2"/>
      </rPr>
      <t>/ g</t>
    </r>
  </si>
  <si>
    <t>Σ Herbizide (ohne Glyphosat und AMPA)</t>
  </si>
  <si>
    <t xml:space="preserve">Wert der grundlegenden Charakterisierung
</t>
  </si>
  <si>
    <r>
      <rPr>
        <b/>
        <sz val="12"/>
        <rFont val="Arial"/>
        <family val="2"/>
      </rPr>
      <t>Ausgewählte Deponieklasse:</t>
    </r>
    <r>
      <rPr>
        <u/>
        <sz val="12"/>
        <rFont val="Arial"/>
        <family val="2"/>
      </rPr>
      <t xml:space="preserve">               </t>
    </r>
    <r>
      <rPr>
        <b/>
        <u/>
        <sz val="16"/>
        <color rgb="FF983895"/>
        <rFont val="Arial"/>
        <family val="2"/>
      </rPr>
      <t>DEPONIE BURGHOF</t>
    </r>
  </si>
  <si>
    <r>
      <t>mg O</t>
    </r>
    <r>
      <rPr>
        <vertAlign val="subscript"/>
        <sz val="11"/>
        <rFont val="Arial"/>
        <family val="2"/>
      </rPr>
      <t>2</t>
    </r>
    <r>
      <rPr>
        <sz val="11"/>
        <rFont val="Arial"/>
        <family val="2"/>
      </rPr>
      <t>/g</t>
    </r>
  </si>
  <si>
    <r>
      <rPr>
        <b/>
        <sz val="12"/>
        <rFont val="Arial"/>
        <family val="2"/>
      </rPr>
      <t>Ausgewählte Deponieklasse:</t>
    </r>
    <r>
      <rPr>
        <u/>
        <sz val="12"/>
        <rFont val="Arial"/>
        <family val="2"/>
      </rPr>
      <t xml:space="preserve">               </t>
    </r>
    <r>
      <rPr>
        <b/>
        <u/>
        <sz val="12"/>
        <color rgb="FF983895"/>
        <rFont val="Arial"/>
        <family val="2"/>
      </rPr>
      <t>DEPONIE BURGHOF</t>
    </r>
  </si>
  <si>
    <t>Säureneutralisationskapazität</t>
  </si>
  <si>
    <t>mmol/kg</t>
  </si>
  <si>
    <t>Seite 1/2</t>
  </si>
  <si>
    <t>Seite 2/2</t>
  </si>
  <si>
    <t>homo- / inhomogen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</si>
</sst>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0"/>
  </numFmts>
  <fonts count="22" x14ac:knownFonts="1">
    <font>
      <sz val="10"/>
      <name val="Arial"/>
    </font>
    <font>
      <i/>
      <sz val="10"/>
      <name val="Arial"/>
      <family val="2"/>
    </font>
    <font>
      <i/>
      <sz val="8"/>
      <name val="Arial"/>
      <family val="2"/>
    </font>
    <font>
      <b/>
      <sz val="10"/>
      <name val="Arial"/>
      <family val="2"/>
    </font>
    <font>
      <sz val="9"/>
      <name val="Arial"/>
      <family val="2"/>
    </font>
    <font>
      <b/>
      <sz val="9"/>
      <name val="Arial"/>
      <family val="2"/>
    </font>
    <font>
      <u/>
      <sz val="10"/>
      <name val="Arial"/>
      <family val="2"/>
    </font>
    <font>
      <u/>
      <sz val="10"/>
      <name val="Arial"/>
      <family val="2"/>
    </font>
    <font>
      <sz val="8"/>
      <name val="Arial"/>
      <family val="2"/>
    </font>
    <font>
      <sz val="8.5"/>
      <name val="Arial"/>
      <family val="2"/>
    </font>
    <font>
      <i/>
      <sz val="7"/>
      <name val="Arial"/>
      <family val="2"/>
    </font>
    <font>
      <sz val="7"/>
      <name val="Arial"/>
      <family val="2"/>
    </font>
    <font>
      <sz val="11"/>
      <name val="Arial"/>
      <family val="2"/>
    </font>
    <font>
      <b/>
      <sz val="11"/>
      <name val="Arial"/>
      <family val="2"/>
    </font>
    <font>
      <u/>
      <sz val="11"/>
      <name val="Arial"/>
      <family val="2"/>
    </font>
    <font>
      <vertAlign val="subscript"/>
      <sz val="11"/>
      <name val="Arial"/>
      <family val="2"/>
    </font>
    <font>
      <b/>
      <sz val="12"/>
      <name val="Arial"/>
      <family val="2"/>
    </font>
    <font>
      <sz val="10"/>
      <name val="Arial"/>
      <family val="2"/>
    </font>
    <font>
      <u/>
      <sz val="12"/>
      <name val="Arial"/>
      <family val="2"/>
    </font>
    <font>
      <b/>
      <u/>
      <sz val="16"/>
      <color rgb="FF983895"/>
      <name val="Arial"/>
      <family val="2"/>
    </font>
    <font>
      <b/>
      <u/>
      <sz val="12"/>
      <color rgb="FF983895"/>
      <name val="Arial"/>
      <family val="2"/>
    </font>
    <font>
      <b/>
      <sz val="14"/>
      <name val="Arial"/>
      <family val="2"/>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theme="2"/>
        <bgColor indexed="64"/>
      </patternFill>
    </fill>
  </fills>
  <borders count="5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thin">
        <color auto="1"/>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4">
    <xf numFmtId="0" fontId="0" fillId="0" borderId="0" xfId="0"/>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50" xfId="0" applyBorder="1" applyAlignment="1">
      <alignment horizontal="center"/>
    </xf>
    <xf numFmtId="0" fontId="0" fillId="0" borderId="50" xfId="0" applyBorder="1" applyAlignment="1">
      <alignment horizontal="left" vertical="center"/>
    </xf>
    <xf numFmtId="0" fontId="0" fillId="0" borderId="50" xfId="0" applyBorder="1" applyAlignment="1">
      <alignment horizontal="left"/>
    </xf>
    <xf numFmtId="0" fontId="8" fillId="0" borderId="0" xfId="0" applyFont="1"/>
    <xf numFmtId="0" fontId="17" fillId="0" borderId="0" xfId="0" applyFont="1" applyAlignment="1">
      <alignment horizontal="right"/>
    </xf>
    <xf numFmtId="0" fontId="0" fillId="0" borderId="0" xfId="0" applyAlignment="1">
      <alignment horizontal="right"/>
    </xf>
    <xf numFmtId="0" fontId="21" fillId="4" borderId="23"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2" xfId="0" applyBorder="1" applyAlignment="1" applyProtection="1">
      <alignment vertical="center"/>
      <protection locked="0"/>
    </xf>
    <xf numFmtId="0" fontId="0" fillId="0" borderId="0" xfId="0" applyProtection="1">
      <protection locked="0"/>
    </xf>
    <xf numFmtId="0" fontId="12" fillId="0" borderId="51" xfId="0" applyFont="1" applyBorder="1" applyAlignment="1" applyProtection="1">
      <alignment vertical="center"/>
      <protection locked="0"/>
    </xf>
    <xf numFmtId="0" fontId="13" fillId="0" borderId="49" xfId="0" applyFont="1" applyBorder="1" applyAlignment="1" applyProtection="1">
      <alignment vertical="center"/>
      <protection locked="0"/>
    </xf>
    <xf numFmtId="0" fontId="12" fillId="0" borderId="23" xfId="0" applyFont="1" applyBorder="1" applyAlignment="1" applyProtection="1">
      <alignment horizontal="center" vertical="top" wrapText="1" shrinkToFit="1"/>
      <protection locked="0"/>
    </xf>
    <xf numFmtId="0" fontId="5" fillId="0" borderId="7"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14" fillId="0" borderId="9" xfId="0" applyFont="1" applyBorder="1" applyAlignment="1" applyProtection="1">
      <alignment horizontal="left" vertical="center"/>
      <protection locked="0"/>
    </xf>
    <xf numFmtId="0" fontId="14" fillId="0" borderId="10" xfId="0" applyFont="1" applyBorder="1" applyAlignment="1" applyProtection="1">
      <alignment vertical="center" wrapText="1" shrinkToFit="1"/>
      <protection locked="0"/>
    </xf>
    <xf numFmtId="0" fontId="12" fillId="0" borderId="10" xfId="0" applyFont="1" applyBorder="1" applyAlignment="1" applyProtection="1">
      <alignment horizontal="center" vertical="top" wrapText="1" shrinkToFit="1"/>
      <protection locked="0"/>
    </xf>
    <xf numFmtId="0" fontId="1" fillId="0" borderId="10" xfId="0" applyFont="1" applyBorder="1" applyAlignment="1" applyProtection="1">
      <alignment horizontal="center" vertical="top"/>
      <protection locked="0"/>
    </xf>
    <xf numFmtId="0" fontId="1" fillId="0" borderId="10"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11" fillId="0" borderId="25" xfId="0" applyFont="1" applyBorder="1" applyAlignment="1" applyProtection="1">
      <alignment horizontal="center" vertical="center" textRotation="90"/>
      <protection locked="0"/>
    </xf>
    <xf numFmtId="16" fontId="12" fillId="0" borderId="48" xfId="0" quotePrefix="1" applyNumberFormat="1" applyFont="1" applyBorder="1" applyAlignment="1" applyProtection="1">
      <alignment horizontal="left" vertical="center"/>
      <protection locked="0"/>
    </xf>
    <xf numFmtId="0" fontId="12" fillId="0" borderId="54" xfId="0" applyFont="1" applyBorder="1" applyAlignment="1" applyProtection="1">
      <alignment vertical="center" shrinkToFit="1"/>
      <protection locked="0"/>
    </xf>
    <xf numFmtId="0" fontId="12" fillId="0" borderId="55" xfId="0" applyFont="1" applyBorder="1" applyAlignment="1" applyProtection="1">
      <alignment horizontal="center" vertical="center" shrinkToFit="1"/>
      <protection locked="0"/>
    </xf>
    <xf numFmtId="164" fontId="17" fillId="2" borderId="56" xfId="0" applyNumberFormat="1" applyFont="1" applyFill="1" applyBorder="1" applyAlignment="1" applyProtection="1">
      <alignment horizontal="center" vertical="center"/>
      <protection locked="0"/>
    </xf>
    <xf numFmtId="164" fontId="17" fillId="2" borderId="55" xfId="0" applyNumberFormat="1" applyFont="1" applyFill="1" applyBorder="1" applyAlignment="1" applyProtection="1">
      <alignment horizontal="center" vertical="center"/>
      <protection locked="0"/>
    </xf>
    <xf numFmtId="16" fontId="12" fillId="0" borderId="7" xfId="0" quotePrefix="1" applyNumberFormat="1" applyFont="1" applyBorder="1" applyAlignment="1" applyProtection="1">
      <alignment horizontal="left" vertical="center"/>
      <protection locked="0"/>
    </xf>
    <xf numFmtId="0" fontId="12" fillId="0" borderId="13" xfId="0" applyFont="1" applyBorder="1" applyAlignment="1" applyProtection="1">
      <alignment vertical="center" shrinkToFit="1"/>
      <protection locked="0"/>
    </xf>
    <xf numFmtId="0" fontId="12" fillId="0" borderId="16" xfId="0" applyFont="1" applyBorder="1" applyAlignment="1" applyProtection="1">
      <alignment horizontal="center" vertical="center" shrinkToFit="1"/>
      <protection locked="0"/>
    </xf>
    <xf numFmtId="164" fontId="17" fillId="2" borderId="19" xfId="0" applyNumberFormat="1" applyFont="1" applyFill="1" applyBorder="1" applyAlignment="1" applyProtection="1">
      <alignment horizontal="center" vertical="center"/>
      <protection locked="0"/>
    </xf>
    <xf numFmtId="164" fontId="17" fillId="2" borderId="16" xfId="0" applyNumberFormat="1"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4" fillId="0" borderId="10" xfId="0" applyFont="1" applyBorder="1" applyAlignment="1" applyProtection="1">
      <alignment vertical="center" shrinkToFit="1"/>
      <protection locked="0"/>
    </xf>
    <xf numFmtId="0" fontId="14" fillId="0" borderId="17"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protection locked="0"/>
    </xf>
    <xf numFmtId="2" fontId="17" fillId="6" borderId="10" xfId="0" applyNumberFormat="1" applyFont="1" applyFill="1" applyBorder="1" applyAlignment="1" applyProtection="1">
      <alignment horizontal="center" vertical="center"/>
      <protection locked="0"/>
    </xf>
    <xf numFmtId="0" fontId="17" fillId="6" borderId="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2" fillId="0" borderId="6" xfId="0" quotePrefix="1" applyFont="1" applyBorder="1" applyAlignment="1" applyProtection="1">
      <alignment horizontal="left" vertical="center"/>
      <protection locked="0"/>
    </xf>
    <xf numFmtId="0" fontId="12" fillId="0" borderId="14" xfId="0" applyFont="1" applyBorder="1" applyAlignment="1" applyProtection="1">
      <alignment vertical="center" shrinkToFit="1"/>
      <protection locked="0"/>
    </xf>
    <xf numFmtId="0" fontId="12" fillId="0" borderId="18" xfId="0" applyFont="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12" fillId="0" borderId="14" xfId="0" applyFont="1" applyBorder="1" applyAlignment="1" applyProtection="1">
      <alignment vertical="center" wrapText="1" shrinkToFit="1"/>
      <protection locked="0"/>
    </xf>
    <xf numFmtId="2" fontId="17" fillId="2" borderId="4" xfId="0" applyNumberFormat="1" applyFont="1" applyFill="1" applyBorder="1" applyAlignment="1" applyProtection="1">
      <alignment horizontal="center" vertical="center"/>
      <protection locked="0"/>
    </xf>
    <xf numFmtId="2" fontId="17" fillId="2" borderId="18" xfId="0" applyNumberFormat="1"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shrinkToFit="1"/>
      <protection locked="0"/>
    </xf>
    <xf numFmtId="0" fontId="12" fillId="0" borderId="18" xfId="0" applyFont="1" applyBorder="1" applyAlignment="1" applyProtection="1">
      <alignment horizontal="center" vertical="center" wrapText="1" shrinkToFit="1"/>
      <protection locked="0"/>
    </xf>
    <xf numFmtId="164" fontId="17" fillId="2" borderId="4" xfId="0" applyNumberFormat="1" applyFont="1" applyFill="1" applyBorder="1" applyAlignment="1" applyProtection="1">
      <alignment horizontal="center" vertical="center"/>
      <protection locked="0"/>
    </xf>
    <xf numFmtId="164" fontId="17" fillId="2" borderId="18" xfId="0" applyNumberFormat="1" applyFont="1" applyFill="1" applyBorder="1" applyAlignment="1" applyProtection="1">
      <alignment horizontal="center" vertical="center"/>
      <protection locked="0"/>
    </xf>
    <xf numFmtId="0" fontId="12" fillId="0" borderId="7" xfId="0" quotePrefix="1" applyFont="1" applyBorder="1" applyAlignment="1" applyProtection="1">
      <alignment horizontal="left" vertical="center"/>
      <protection locked="0"/>
    </xf>
    <xf numFmtId="0" fontId="12" fillId="0" borderId="13" xfId="0" applyFont="1" applyBorder="1" applyAlignment="1" applyProtection="1">
      <alignment horizontal="left" vertical="center" wrapText="1" shrinkToFit="1"/>
      <protection locked="0"/>
    </xf>
    <xf numFmtId="0" fontId="17" fillId="2" borderId="7"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wrapText="1" shrinkToFit="1"/>
      <protection locked="0"/>
    </xf>
    <xf numFmtId="0" fontId="14" fillId="0" borderId="15" xfId="0" applyFont="1" applyFill="1" applyBorder="1" applyAlignment="1" applyProtection="1">
      <alignment horizontal="center" vertical="center" wrapText="1" shrinkToFit="1"/>
      <protection locked="0"/>
    </xf>
    <xf numFmtId="165" fontId="17" fillId="2" borderId="4" xfId="0" applyNumberFormat="1" applyFont="1" applyFill="1" applyBorder="1" applyAlignment="1" applyProtection="1">
      <alignment horizontal="center" vertical="center"/>
      <protection locked="0"/>
    </xf>
    <xf numFmtId="165" fontId="17" fillId="2" borderId="18" xfId="0" applyNumberFormat="1" applyFont="1" applyFill="1" applyBorder="1" applyAlignment="1" applyProtection="1">
      <alignment horizontal="center" vertical="center"/>
      <protection locked="0"/>
    </xf>
    <xf numFmtId="0" fontId="3" fillId="0" borderId="6" xfId="0" applyFont="1" applyBorder="1" applyAlignment="1" applyProtection="1">
      <alignment horizontal="center"/>
      <protection locked="0"/>
    </xf>
    <xf numFmtId="166" fontId="17" fillId="2" borderId="4" xfId="0" applyNumberFormat="1" applyFont="1" applyFill="1" applyBorder="1" applyAlignment="1" applyProtection="1">
      <alignment horizontal="center" vertical="center"/>
      <protection locked="0"/>
    </xf>
    <xf numFmtId="166" fontId="17" fillId="2" borderId="18" xfId="0" applyNumberFormat="1" applyFont="1" applyFill="1" applyBorder="1" applyAlignment="1" applyProtection="1">
      <alignment horizontal="center" vertical="center"/>
      <protection locked="0"/>
    </xf>
    <xf numFmtId="0" fontId="12" fillId="0" borderId="16" xfId="0" applyFont="1" applyBorder="1" applyAlignment="1" applyProtection="1">
      <alignment horizontal="center" vertical="center" wrapText="1" shrinkToFit="1"/>
      <protection locked="0"/>
    </xf>
    <xf numFmtId="0" fontId="12" fillId="0" borderId="5" xfId="0" quotePrefix="1" applyFont="1" applyBorder="1" applyAlignment="1" applyProtection="1">
      <alignment horizontal="left" vertical="center"/>
      <protection locked="0"/>
    </xf>
    <xf numFmtId="0" fontId="14" fillId="0" borderId="20" xfId="0" applyFont="1" applyBorder="1" applyAlignment="1" applyProtection="1">
      <alignment horizontal="left" vertical="center" wrapText="1"/>
      <protection locked="0"/>
    </xf>
    <xf numFmtId="0" fontId="12" fillId="0" borderId="20"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protection locked="0"/>
    </xf>
    <xf numFmtId="2" fontId="17" fillId="6" borderId="20" xfId="0" applyNumberFormat="1" applyFont="1" applyFill="1" applyBorder="1" applyAlignment="1" applyProtection="1">
      <alignment horizontal="center" vertical="center"/>
      <protection locked="0"/>
    </xf>
    <xf numFmtId="0" fontId="17" fillId="6" borderId="20" xfId="0" applyFont="1" applyFill="1" applyBorder="1" applyAlignment="1" applyProtection="1">
      <alignment horizontal="center" vertical="center"/>
      <protection locked="0"/>
    </xf>
    <xf numFmtId="0" fontId="3" fillId="0" borderId="24" xfId="0" applyFont="1" applyBorder="1" applyAlignment="1" applyProtection="1">
      <alignment horizontal="center"/>
      <protection locked="0"/>
    </xf>
    <xf numFmtId="0" fontId="12" fillId="0" borderId="4" xfId="0" applyFont="1" applyBorder="1" applyAlignment="1" applyProtection="1">
      <alignment vertical="center"/>
      <protection locked="0"/>
    </xf>
    <xf numFmtId="0" fontId="12" fillId="0" borderId="18" xfId="0" applyFont="1" applyBorder="1" applyAlignment="1" applyProtection="1">
      <alignment horizontal="center" vertical="center"/>
      <protection locked="0"/>
    </xf>
    <xf numFmtId="0" fontId="12" fillId="0" borderId="4" xfId="0" applyFont="1" applyBorder="1" applyAlignment="1" applyProtection="1">
      <alignment vertical="center" wrapText="1" shrinkToFit="1"/>
      <protection locked="0"/>
    </xf>
    <xf numFmtId="0" fontId="12" fillId="0" borderId="19" xfId="0" applyFont="1" applyBorder="1" applyAlignment="1" applyProtection="1">
      <alignment vertical="center" wrapText="1" shrinkToFit="1"/>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Protection="1">
      <protection locked="0"/>
    </xf>
    <xf numFmtId="0" fontId="0" fillId="0" borderId="50" xfId="0" applyBorder="1" applyAlignment="1" applyProtection="1">
      <alignment horizont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2" fontId="17" fillId="5" borderId="29" xfId="0" applyNumberFormat="1" applyFont="1" applyFill="1" applyBorder="1" applyAlignment="1" applyProtection="1">
      <alignment horizontal="center" vertical="center"/>
    </xf>
    <xf numFmtId="2" fontId="17" fillId="5" borderId="56" xfId="0" applyNumberFormat="1" applyFont="1" applyFill="1" applyBorder="1" applyAlignment="1" applyProtection="1">
      <alignment horizontal="center" vertical="center"/>
    </xf>
    <xf numFmtId="2" fontId="17" fillId="5" borderId="53" xfId="0" applyNumberFormat="1" applyFont="1" applyFill="1" applyBorder="1" applyAlignment="1" applyProtection="1">
      <alignment horizontal="center" vertical="center"/>
    </xf>
    <xf numFmtId="0" fontId="3" fillId="3" borderId="48" xfId="0" applyFont="1" applyFill="1" applyBorder="1" applyAlignment="1" applyProtection="1">
      <alignment horizontal="center" vertical="center"/>
    </xf>
    <xf numFmtId="0" fontId="17" fillId="3" borderId="55" xfId="0" applyFont="1" applyFill="1" applyBorder="1" applyAlignment="1" applyProtection="1">
      <alignment horizontal="center" vertical="center"/>
    </xf>
    <xf numFmtId="0" fontId="3" fillId="0" borderId="48" xfId="0" applyFont="1" applyBorder="1" applyAlignment="1" applyProtection="1">
      <alignment horizontal="center" vertical="center"/>
    </xf>
    <xf numFmtId="2" fontId="17" fillId="5" borderId="24" xfId="0" applyNumberFormat="1" applyFont="1" applyFill="1" applyBorder="1" applyAlignment="1" applyProtection="1">
      <alignment horizontal="center" vertical="center"/>
    </xf>
    <xf numFmtId="2" fontId="17" fillId="5" borderId="4" xfId="0" applyNumberFormat="1" applyFont="1" applyFill="1" applyBorder="1" applyAlignment="1" applyProtection="1">
      <alignment horizontal="center" vertical="center"/>
    </xf>
    <xf numFmtId="2" fontId="17" fillId="5" borderId="28" xfId="0" applyNumberFormat="1"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17" fillId="3" borderId="16" xfId="0"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17" fillId="3" borderId="18" xfId="0" applyFont="1" applyFill="1" applyBorder="1" applyAlignment="1" applyProtection="1">
      <alignment horizontal="center" vertical="center"/>
    </xf>
    <xf numFmtId="164" fontId="17" fillId="5" borderId="24" xfId="0" applyNumberFormat="1" applyFont="1" applyFill="1" applyBorder="1" applyAlignment="1" applyProtection="1">
      <alignment horizontal="center" vertical="center"/>
    </xf>
    <xf numFmtId="164" fontId="17" fillId="5" borderId="4" xfId="0" applyNumberFormat="1" applyFont="1" applyFill="1" applyBorder="1" applyAlignment="1" applyProtection="1">
      <alignment horizontal="center" vertical="center"/>
    </xf>
    <xf numFmtId="0" fontId="17" fillId="3" borderId="18" xfId="0" quotePrefix="1" applyFont="1" applyFill="1" applyBorder="1" applyAlignment="1" applyProtection="1">
      <alignment horizontal="center" vertical="center"/>
    </xf>
    <xf numFmtId="0" fontId="17" fillId="3" borderId="16" xfId="0" quotePrefix="1" applyFont="1" applyFill="1" applyBorder="1" applyAlignment="1" applyProtection="1">
      <alignment horizontal="center" vertical="center"/>
    </xf>
    <xf numFmtId="166" fontId="17" fillId="5" borderId="24" xfId="0" applyNumberFormat="1" applyFont="1" applyFill="1" applyBorder="1" applyAlignment="1" applyProtection="1">
      <alignment horizontal="center" vertical="center"/>
    </xf>
    <xf numFmtId="167" fontId="17" fillId="5" borderId="4" xfId="0" applyNumberFormat="1" applyFont="1" applyFill="1" applyBorder="1" applyAlignment="1" applyProtection="1">
      <alignment horizontal="center" vertical="center"/>
    </xf>
    <xf numFmtId="0" fontId="3" fillId="0" borderId="6" xfId="0" applyFont="1" applyBorder="1" applyAlignment="1" applyProtection="1">
      <alignment horizontal="center"/>
    </xf>
    <xf numFmtId="0" fontId="17" fillId="3" borderId="18" xfId="0" applyNumberFormat="1" applyFont="1" applyFill="1" applyBorder="1" applyAlignment="1" applyProtection="1">
      <alignment horizontal="center" vertical="center"/>
    </xf>
    <xf numFmtId="0" fontId="0" fillId="0" borderId="2" xfId="0" applyBorder="1" applyProtection="1">
      <protection locked="0"/>
    </xf>
    <xf numFmtId="0" fontId="0" fillId="0" borderId="9" xfId="0" applyBorder="1" applyProtection="1">
      <protection locked="0"/>
    </xf>
    <xf numFmtId="0" fontId="3" fillId="0" borderId="25" xfId="0" applyFont="1" applyBorder="1" applyProtection="1">
      <protection locked="0"/>
    </xf>
    <xf numFmtId="0" fontId="7" fillId="0" borderId="7" xfId="0" applyFont="1" applyBorder="1" applyAlignment="1" applyProtection="1">
      <alignment horizontal="left" vertical="center"/>
      <protection locked="0"/>
    </xf>
    <xf numFmtId="0" fontId="14" fillId="0" borderId="3" xfId="0" applyFont="1" applyBorder="1" applyAlignment="1" applyProtection="1">
      <alignment wrapText="1" shrinkToFit="1"/>
      <protection locked="0"/>
    </xf>
    <xf numFmtId="0" fontId="5" fillId="0" borderId="2" xfId="0" applyFont="1" applyBorder="1" applyAlignment="1" applyProtection="1">
      <alignment horizontal="center" wrapText="1" shrinkToFit="1"/>
      <protection locked="0"/>
    </xf>
    <xf numFmtId="0" fontId="4" fillId="0" borderId="22" xfId="0" applyFont="1" applyBorder="1" applyAlignment="1" applyProtection="1">
      <alignment horizontal="center" wrapText="1" shrinkToFit="1"/>
      <protection locked="0"/>
    </xf>
    <xf numFmtId="16" fontId="12" fillId="0" borderId="5" xfId="0" quotePrefix="1" applyNumberFormat="1" applyFont="1" applyBorder="1" applyAlignment="1" applyProtection="1">
      <alignment horizontal="left" vertical="center"/>
      <protection locked="0"/>
    </xf>
    <xf numFmtId="0" fontId="12" fillId="0" borderId="12" xfId="0" applyFont="1" applyBorder="1" applyAlignment="1" applyProtection="1">
      <alignment vertical="center" shrinkToFit="1"/>
      <protection locked="0"/>
    </xf>
    <xf numFmtId="0" fontId="12" fillId="0" borderId="15" xfId="0" applyFont="1" applyBorder="1" applyAlignment="1" applyProtection="1">
      <alignment horizontal="center" vertical="center" shrinkToFit="1"/>
      <protection locked="0"/>
    </xf>
    <xf numFmtId="164" fontId="17" fillId="2" borderId="5" xfId="0" applyNumberFormat="1" applyFont="1" applyFill="1" applyBorder="1" applyAlignment="1" applyProtection="1">
      <alignment horizontal="center"/>
      <protection locked="0"/>
    </xf>
    <xf numFmtId="164" fontId="17" fillId="2" borderId="26" xfId="0" applyNumberFormat="1" applyFont="1" applyFill="1" applyBorder="1" applyAlignment="1" applyProtection="1">
      <alignment horizontal="center"/>
      <protection locked="0"/>
    </xf>
    <xf numFmtId="164" fontId="17" fillId="2" borderId="12" xfId="0" applyNumberFormat="1" applyFont="1" applyFill="1" applyBorder="1" applyAlignment="1" applyProtection="1">
      <alignment horizontal="center"/>
      <protection locked="0"/>
    </xf>
    <xf numFmtId="164" fontId="17" fillId="2" borderId="25" xfId="0" applyNumberFormat="1" applyFont="1" applyFill="1" applyBorder="1" applyAlignment="1" applyProtection="1">
      <alignment horizontal="center"/>
      <protection locked="0"/>
    </xf>
    <xf numFmtId="164" fontId="17" fillId="2" borderId="15" xfId="0" applyNumberFormat="1" applyFont="1" applyFill="1" applyBorder="1" applyAlignment="1" applyProtection="1">
      <alignment horizontal="center"/>
      <protection locked="0"/>
    </xf>
    <xf numFmtId="164" fontId="17" fillId="2" borderId="7" xfId="0" applyNumberFormat="1" applyFont="1" applyFill="1" applyBorder="1" applyAlignment="1" applyProtection="1">
      <alignment horizontal="center"/>
      <protection locked="0"/>
    </xf>
    <xf numFmtId="164" fontId="17" fillId="2" borderId="19" xfId="0" applyNumberFormat="1" applyFont="1" applyFill="1" applyBorder="1" applyAlignment="1" applyProtection="1">
      <alignment horizontal="center"/>
      <protection locked="0"/>
    </xf>
    <xf numFmtId="164" fontId="17" fillId="2" borderId="13" xfId="0" applyNumberFormat="1" applyFont="1" applyFill="1" applyBorder="1" applyAlignment="1" applyProtection="1">
      <alignment horizontal="center"/>
      <protection locked="0"/>
    </xf>
    <xf numFmtId="164" fontId="17" fillId="2" borderId="27" xfId="0" applyNumberFormat="1" applyFont="1" applyFill="1" applyBorder="1" applyAlignment="1" applyProtection="1">
      <alignment horizontal="center"/>
      <protection locked="0"/>
    </xf>
    <xf numFmtId="164" fontId="17" fillId="2" borderId="16" xfId="0" applyNumberFormat="1"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17" fillId="0" borderId="1" xfId="0" applyFont="1" applyBorder="1" applyAlignment="1" applyProtection="1">
      <alignment horizontal="center"/>
      <protection locked="0"/>
    </xf>
    <xf numFmtId="0" fontId="17" fillId="0" borderId="0" xfId="0" applyFont="1" applyBorder="1" applyAlignment="1" applyProtection="1">
      <alignment horizontal="center"/>
      <protection locked="0"/>
    </xf>
    <xf numFmtId="2" fontId="17" fillId="6" borderId="10" xfId="0" applyNumberFormat="1" applyFont="1" applyFill="1" applyBorder="1" applyAlignment="1" applyProtection="1">
      <alignment horizontal="center"/>
      <protection locked="0"/>
    </xf>
    <xf numFmtId="0" fontId="17" fillId="6" borderId="10" xfId="0" applyFont="1" applyFill="1" applyBorder="1" applyAlignment="1" applyProtection="1">
      <alignment horizontal="center"/>
      <protection locked="0"/>
    </xf>
    <xf numFmtId="0" fontId="3" fillId="0" borderId="10"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17" fillId="2" borderId="6" xfId="0" applyFont="1" applyFill="1" applyBorder="1" applyAlignment="1" applyProtection="1">
      <alignment horizontal="center"/>
      <protection locked="0"/>
    </xf>
    <xf numFmtId="0" fontId="17" fillId="2" borderId="4" xfId="0" applyFont="1" applyFill="1" applyBorder="1" applyAlignment="1" applyProtection="1">
      <alignment horizontal="center"/>
      <protection locked="0"/>
    </xf>
    <xf numFmtId="0" fontId="17" fillId="2" borderId="14" xfId="0" applyFont="1" applyFill="1" applyBorder="1" applyAlignment="1" applyProtection="1">
      <alignment horizontal="center"/>
      <protection locked="0"/>
    </xf>
    <xf numFmtId="0" fontId="17" fillId="2" borderId="24" xfId="0" applyFont="1" applyFill="1" applyBorder="1" applyAlignment="1" applyProtection="1">
      <alignment horizontal="center"/>
      <protection locked="0"/>
    </xf>
    <xf numFmtId="0" fontId="17" fillId="2" borderId="18" xfId="0"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17" fillId="3" borderId="18" xfId="0" applyFont="1" applyFill="1" applyBorder="1" applyAlignment="1" applyProtection="1">
      <alignment horizontal="center"/>
      <protection locked="0"/>
    </xf>
    <xf numFmtId="2" fontId="17" fillId="2" borderId="6" xfId="0" applyNumberFormat="1" applyFont="1" applyFill="1" applyBorder="1" applyAlignment="1" applyProtection="1">
      <alignment horizontal="center"/>
      <protection locked="0"/>
    </xf>
    <xf numFmtId="2" fontId="17" fillId="2" borderId="4" xfId="0" applyNumberFormat="1" applyFont="1" applyFill="1" applyBorder="1" applyAlignment="1" applyProtection="1">
      <alignment horizontal="center"/>
      <protection locked="0"/>
    </xf>
    <xf numFmtId="2" fontId="17" fillId="2" borderId="14" xfId="0" applyNumberFormat="1" applyFont="1" applyFill="1" applyBorder="1" applyAlignment="1" applyProtection="1">
      <alignment horizontal="center"/>
      <protection locked="0"/>
    </xf>
    <xf numFmtId="2" fontId="17" fillId="2" borderId="24" xfId="0" applyNumberFormat="1" applyFont="1" applyFill="1" applyBorder="1" applyAlignment="1" applyProtection="1">
      <alignment horizontal="center"/>
      <protection locked="0"/>
    </xf>
    <xf numFmtId="2" fontId="17" fillId="2" borderId="18" xfId="0" applyNumberFormat="1" applyFont="1" applyFill="1" applyBorder="1" applyAlignment="1" applyProtection="1">
      <alignment horizontal="center"/>
      <protection locked="0"/>
    </xf>
    <xf numFmtId="164" fontId="17" fillId="2" borderId="6" xfId="0" applyNumberFormat="1" applyFont="1" applyFill="1" applyBorder="1" applyAlignment="1" applyProtection="1">
      <alignment horizontal="center"/>
      <protection locked="0"/>
    </xf>
    <xf numFmtId="164" fontId="17" fillId="2" borderId="4" xfId="0" applyNumberFormat="1" applyFont="1" applyFill="1" applyBorder="1" applyAlignment="1" applyProtection="1">
      <alignment horizontal="center"/>
      <protection locked="0"/>
    </xf>
    <xf numFmtId="164" fontId="17" fillId="2" borderId="14" xfId="0" applyNumberFormat="1" applyFont="1" applyFill="1" applyBorder="1" applyAlignment="1" applyProtection="1">
      <alignment horizontal="center"/>
      <protection locked="0"/>
    </xf>
    <xf numFmtId="164" fontId="17" fillId="2" borderId="24" xfId="0" applyNumberFormat="1" applyFont="1" applyFill="1" applyBorder="1" applyAlignment="1" applyProtection="1">
      <alignment horizontal="center"/>
      <protection locked="0"/>
    </xf>
    <xf numFmtId="164" fontId="17" fillId="2" borderId="18" xfId="0" applyNumberFormat="1" applyFont="1" applyFill="1" applyBorder="1" applyAlignment="1" applyProtection="1">
      <alignment horizontal="center"/>
      <protection locked="0"/>
    </xf>
    <xf numFmtId="0" fontId="17" fillId="2" borderId="7" xfId="0" applyFont="1" applyFill="1" applyBorder="1" applyAlignment="1" applyProtection="1">
      <alignment horizontal="center"/>
      <protection locked="0"/>
    </xf>
    <xf numFmtId="0" fontId="17" fillId="2" borderId="19" xfId="0" applyFont="1" applyFill="1" applyBorder="1" applyAlignment="1" applyProtection="1">
      <alignment horizontal="center"/>
      <protection locked="0"/>
    </xf>
    <xf numFmtId="0" fontId="17" fillId="2" borderId="13" xfId="0" applyFont="1" applyFill="1" applyBorder="1" applyAlignment="1" applyProtection="1">
      <alignment horizontal="center"/>
      <protection locked="0"/>
    </xf>
    <xf numFmtId="0" fontId="17" fillId="2" borderId="27" xfId="0" applyFont="1" applyFill="1" applyBorder="1" applyAlignment="1" applyProtection="1">
      <alignment horizontal="center"/>
      <protection locked="0"/>
    </xf>
    <xf numFmtId="0" fontId="17" fillId="2" borderId="16" xfId="0" applyFont="1" applyFill="1" applyBorder="1" applyAlignment="1" applyProtection="1">
      <alignment horizontal="center"/>
      <protection locked="0"/>
    </xf>
    <xf numFmtId="0" fontId="17" fillId="0" borderId="9" xfId="0" applyFont="1" applyBorder="1" applyAlignment="1" applyProtection="1">
      <alignment horizontal="center"/>
      <protection locked="0"/>
    </xf>
    <xf numFmtId="0" fontId="3" fillId="0" borderId="29" xfId="0" applyFont="1" applyBorder="1" applyAlignment="1" applyProtection="1">
      <alignment horizontal="center"/>
      <protection locked="0"/>
    </xf>
    <xf numFmtId="165" fontId="17" fillId="2" borderId="6" xfId="0" applyNumberFormat="1" applyFont="1" applyFill="1" applyBorder="1" applyAlignment="1" applyProtection="1">
      <alignment horizontal="center"/>
      <protection locked="0"/>
    </xf>
    <xf numFmtId="165" fontId="17" fillId="2" borderId="4" xfId="0" applyNumberFormat="1" applyFont="1" applyFill="1" applyBorder="1" applyAlignment="1" applyProtection="1">
      <alignment horizontal="center"/>
      <protection locked="0"/>
    </xf>
    <xf numFmtId="165" fontId="17" fillId="2" borderId="14" xfId="0" applyNumberFormat="1" applyFont="1" applyFill="1" applyBorder="1" applyAlignment="1" applyProtection="1">
      <alignment horizontal="center"/>
      <protection locked="0"/>
    </xf>
    <xf numFmtId="165" fontId="17" fillId="2" borderId="24" xfId="0" applyNumberFormat="1" applyFont="1" applyFill="1" applyBorder="1" applyAlignment="1" applyProtection="1">
      <alignment horizontal="center"/>
      <protection locked="0"/>
    </xf>
    <xf numFmtId="165" fontId="17" fillId="2" borderId="18" xfId="0" applyNumberFormat="1" applyFont="1" applyFill="1" applyBorder="1" applyAlignment="1" applyProtection="1">
      <alignment horizontal="center"/>
      <protection locked="0"/>
    </xf>
    <xf numFmtId="166" fontId="17" fillId="2" borderId="6" xfId="0" applyNumberFormat="1" applyFont="1" applyFill="1" applyBorder="1" applyAlignment="1" applyProtection="1">
      <alignment horizontal="center"/>
      <protection locked="0"/>
    </xf>
    <xf numFmtId="166" fontId="17" fillId="2" borderId="4" xfId="0" applyNumberFormat="1" applyFont="1" applyFill="1" applyBorder="1" applyAlignment="1" applyProtection="1">
      <alignment horizontal="center"/>
      <protection locked="0"/>
    </xf>
    <xf numFmtId="166" fontId="17" fillId="2" borderId="14" xfId="0" applyNumberFormat="1" applyFont="1" applyFill="1" applyBorder="1" applyAlignment="1" applyProtection="1">
      <alignment horizontal="center"/>
      <protection locked="0"/>
    </xf>
    <xf numFmtId="166" fontId="17" fillId="2" borderId="24" xfId="0" applyNumberFormat="1" applyFont="1" applyFill="1" applyBorder="1" applyAlignment="1" applyProtection="1">
      <alignment horizontal="center"/>
      <protection locked="0"/>
    </xf>
    <xf numFmtId="166" fontId="17" fillId="2" borderId="18" xfId="0" applyNumberFormat="1" applyFont="1" applyFill="1" applyBorder="1" applyAlignment="1" applyProtection="1">
      <alignment horizontal="center"/>
      <protection locked="0"/>
    </xf>
    <xf numFmtId="0" fontId="17" fillId="0" borderId="20" xfId="0" applyFont="1" applyBorder="1" applyAlignment="1" applyProtection="1">
      <alignment horizontal="center"/>
      <protection locked="0"/>
    </xf>
    <xf numFmtId="2" fontId="17" fillId="6" borderId="20" xfId="0" applyNumberFormat="1" applyFont="1" applyFill="1" applyBorder="1" applyAlignment="1" applyProtection="1">
      <alignment horizontal="center"/>
      <protection locked="0"/>
    </xf>
    <xf numFmtId="0" fontId="17" fillId="6" borderId="20" xfId="0" applyFont="1" applyFill="1" applyBorder="1" applyAlignment="1" applyProtection="1">
      <alignment horizontal="center"/>
      <protection locked="0"/>
    </xf>
    <xf numFmtId="2" fontId="17" fillId="5" borderId="25" xfId="0" applyNumberFormat="1" applyFont="1" applyFill="1" applyBorder="1" applyAlignment="1" applyProtection="1">
      <alignment horizontal="center"/>
    </xf>
    <xf numFmtId="2" fontId="17" fillId="5" borderId="26" xfId="0" applyNumberFormat="1" applyFont="1" applyFill="1" applyBorder="1" applyAlignment="1" applyProtection="1">
      <alignment horizontal="center"/>
    </xf>
    <xf numFmtId="2" fontId="17" fillId="5" borderId="31" xfId="0" applyNumberFormat="1" applyFont="1" applyFill="1" applyBorder="1" applyAlignment="1" applyProtection="1">
      <alignment horizontal="center"/>
    </xf>
    <xf numFmtId="0" fontId="3" fillId="7" borderId="20" xfId="0" applyFont="1" applyFill="1" applyBorder="1" applyAlignment="1" applyProtection="1">
      <alignment horizontal="center"/>
    </xf>
    <xf numFmtId="0" fontId="17" fillId="3" borderId="15" xfId="0" applyFont="1" applyFill="1" applyBorder="1" applyAlignment="1" applyProtection="1">
      <alignment horizontal="center"/>
    </xf>
    <xf numFmtId="0" fontId="13" fillId="0" borderId="33" xfId="0" applyFont="1" applyBorder="1" applyAlignment="1" applyProtection="1">
      <alignment horizontal="center"/>
    </xf>
    <xf numFmtId="2" fontId="17" fillId="5" borderId="27" xfId="0" applyNumberFormat="1" applyFont="1" applyFill="1" applyBorder="1" applyAlignment="1" applyProtection="1">
      <alignment horizontal="center"/>
    </xf>
    <xf numFmtId="2" fontId="17" fillId="5" borderId="19" xfId="0" applyNumberFormat="1" applyFont="1" applyFill="1" applyBorder="1" applyAlignment="1" applyProtection="1">
      <alignment horizontal="center"/>
    </xf>
    <xf numFmtId="2" fontId="17" fillId="5" borderId="16" xfId="0" applyNumberFormat="1" applyFont="1" applyFill="1" applyBorder="1" applyAlignment="1" applyProtection="1">
      <alignment horizontal="center"/>
    </xf>
    <xf numFmtId="0" fontId="3" fillId="7" borderId="7" xfId="0" applyFont="1" applyFill="1" applyBorder="1" applyAlignment="1" applyProtection="1">
      <alignment horizontal="center"/>
    </xf>
    <xf numFmtId="0" fontId="17" fillId="3" borderId="16" xfId="0" applyFont="1" applyFill="1" applyBorder="1" applyAlignment="1" applyProtection="1">
      <alignment horizontal="center"/>
    </xf>
    <xf numFmtId="0" fontId="3" fillId="0" borderId="34" xfId="0" applyFont="1" applyBorder="1" applyAlignment="1" applyProtection="1">
      <alignment horizontal="center"/>
    </xf>
    <xf numFmtId="2" fontId="17" fillId="5" borderId="24" xfId="0" applyNumberFormat="1" applyFont="1" applyFill="1" applyBorder="1" applyAlignment="1" applyProtection="1">
      <alignment horizontal="center"/>
    </xf>
    <xf numFmtId="2" fontId="17" fillId="5" borderId="4" xfId="0" applyNumberFormat="1" applyFont="1" applyFill="1" applyBorder="1" applyAlignment="1" applyProtection="1">
      <alignment horizontal="center"/>
    </xf>
    <xf numFmtId="2" fontId="17" fillId="5" borderId="28" xfId="0" applyNumberFormat="1" applyFont="1" applyFill="1" applyBorder="1" applyAlignment="1" applyProtection="1">
      <alignment horizontal="center"/>
    </xf>
    <xf numFmtId="0" fontId="3" fillId="7" borderId="6" xfId="0" applyFont="1" applyFill="1" applyBorder="1" applyAlignment="1" applyProtection="1">
      <alignment horizontal="center"/>
    </xf>
    <xf numFmtId="0" fontId="17" fillId="3" borderId="18" xfId="0" applyFont="1" applyFill="1" applyBorder="1" applyAlignment="1" applyProtection="1">
      <alignment horizontal="center"/>
    </xf>
    <xf numFmtId="0" fontId="3" fillId="0" borderId="35" xfId="0" applyFont="1" applyBorder="1" applyAlignment="1" applyProtection="1">
      <alignment horizontal="center"/>
    </xf>
    <xf numFmtId="0" fontId="17" fillId="3" borderId="18" xfId="0" quotePrefix="1" applyFont="1" applyFill="1" applyBorder="1" applyAlignment="1" applyProtection="1">
      <alignment horizontal="center"/>
    </xf>
    <xf numFmtId="0" fontId="3" fillId="3" borderId="7" xfId="0" applyFont="1" applyFill="1" applyBorder="1" applyAlignment="1" applyProtection="1">
      <alignment horizontal="center"/>
    </xf>
    <xf numFmtId="0" fontId="17" fillId="3" borderId="16" xfId="0" quotePrefix="1" applyFont="1" applyFill="1" applyBorder="1" applyAlignment="1" applyProtection="1">
      <alignment horizontal="center"/>
    </xf>
    <xf numFmtId="0" fontId="17" fillId="3" borderId="18" xfId="0" applyNumberFormat="1" applyFont="1" applyFill="1" applyBorder="1" applyAlignment="1" applyProtection="1">
      <alignment horizontal="center"/>
    </xf>
    <xf numFmtId="2" fontId="17" fillId="5" borderId="32" xfId="0" applyNumberFormat="1" applyFont="1" applyFill="1" applyBorder="1" applyAlignment="1" applyProtection="1">
      <alignment horizontal="center"/>
    </xf>
    <xf numFmtId="0" fontId="18" fillId="8" borderId="21" xfId="0" applyFont="1" applyFill="1" applyBorder="1" applyAlignment="1" applyProtection="1">
      <alignment vertical="center" wrapText="1"/>
      <protection locked="0"/>
    </xf>
    <xf numFmtId="0" fontId="18" fillId="8" borderId="49" xfId="0" applyFont="1" applyFill="1" applyBorder="1" applyAlignment="1" applyProtection="1">
      <alignment vertical="center"/>
      <protection locked="0"/>
    </xf>
    <xf numFmtId="0" fontId="2" fillId="0" borderId="8" xfId="0" applyFont="1" applyBorder="1" applyAlignment="1" applyProtection="1">
      <alignment horizontal="right" vertical="center"/>
      <protection locked="0"/>
    </xf>
    <xf numFmtId="0" fontId="5" fillId="0" borderId="2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1" xfId="0" applyNumberFormat="1" applyFon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9" fillId="0" borderId="43" xfId="0" applyFont="1" applyBorder="1" applyAlignment="1" applyProtection="1">
      <alignment horizontal="center" vertical="center" wrapText="1" shrinkToFit="1"/>
      <protection locked="0"/>
    </xf>
    <xf numFmtId="0" fontId="9" fillId="0" borderId="37" xfId="0" applyFont="1" applyBorder="1" applyAlignment="1" applyProtection="1">
      <alignment horizontal="center" vertical="center" wrapText="1" shrinkToFit="1"/>
      <protection locked="0"/>
    </xf>
    <xf numFmtId="0" fontId="9" fillId="0" borderId="52" xfId="0" applyFont="1" applyBorder="1" applyAlignment="1" applyProtection="1">
      <alignment horizontal="center" vertical="center" wrapText="1" shrinkToFit="1"/>
      <protection locked="0"/>
    </xf>
    <xf numFmtId="0" fontId="9" fillId="0" borderId="53" xfId="0" applyFont="1" applyBorder="1" applyAlignment="1" applyProtection="1">
      <alignment horizontal="center" vertical="center" wrapText="1" shrinkToFit="1"/>
      <protection locked="0"/>
    </xf>
    <xf numFmtId="0" fontId="4" fillId="0" borderId="47" xfId="0" applyFont="1" applyBorder="1" applyAlignment="1" applyProtection="1">
      <alignment horizontal="center" vertical="center" textRotation="90"/>
      <protection locked="0"/>
    </xf>
    <xf numFmtId="0" fontId="11" fillId="0" borderId="45" xfId="0" applyFont="1" applyBorder="1" applyAlignment="1" applyProtection="1">
      <alignment horizontal="center" vertical="center" textRotation="90"/>
      <protection locked="0"/>
    </xf>
    <xf numFmtId="0" fontId="1" fillId="0" borderId="4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0" fillId="0" borderId="44" xfId="0" applyFont="1" applyBorder="1" applyAlignment="1" applyProtection="1">
      <alignment horizontal="center" vertical="center" wrapText="1" shrinkToFit="1"/>
      <protection locked="0"/>
    </xf>
    <xf numFmtId="0" fontId="10" fillId="0" borderId="46" xfId="0" applyFont="1" applyBorder="1" applyAlignment="1" applyProtection="1">
      <alignment horizontal="center" vertical="center" wrapText="1" shrinkToFit="1"/>
      <protection locked="0"/>
    </xf>
    <xf numFmtId="0" fontId="10" fillId="0" borderId="38" xfId="0" applyFont="1" applyBorder="1" applyAlignment="1" applyProtection="1">
      <alignment horizontal="center" vertical="center" wrapText="1" shrinkToFit="1"/>
      <protection locked="0"/>
    </xf>
    <xf numFmtId="0" fontId="10" fillId="0" borderId="40" xfId="0" applyFont="1" applyBorder="1" applyAlignment="1" applyProtection="1">
      <alignment horizontal="center" vertical="center" wrapText="1" shrinkToFit="1"/>
      <protection locked="0"/>
    </xf>
    <xf numFmtId="0" fontId="2" fillId="0" borderId="41" xfId="0" applyFont="1" applyBorder="1" applyAlignment="1" applyProtection="1">
      <alignment horizontal="center" vertical="center" wrapText="1" shrinkToFit="1"/>
      <protection locked="0"/>
    </xf>
    <xf numFmtId="0" fontId="2" fillId="0" borderId="42" xfId="0" applyFont="1" applyBorder="1" applyAlignment="1" applyProtection="1">
      <alignment horizontal="center" vertical="center" wrapText="1" shrinkToFit="1"/>
      <protection locked="0"/>
    </xf>
    <xf numFmtId="0" fontId="1" fillId="0" borderId="38"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protection locked="0"/>
    </xf>
    <xf numFmtId="0" fontId="6" fillId="8" borderId="49" xfId="0" applyFont="1" applyFill="1" applyBorder="1" applyAlignment="1" applyProtection="1">
      <alignment vertic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11" fillId="0" borderId="47" xfId="0" applyFont="1" applyBorder="1" applyAlignment="1" applyProtection="1">
      <alignment horizontal="center" vertical="center" textRotation="90"/>
      <protection locked="0"/>
    </xf>
    <xf numFmtId="0" fontId="11" fillId="0" borderId="46" xfId="0" applyFont="1" applyBorder="1" applyAlignment="1" applyProtection="1">
      <alignment horizontal="center" vertical="center" textRotation="90"/>
      <protection locked="0"/>
    </xf>
    <xf numFmtId="0" fontId="2" fillId="0" borderId="3" xfId="0" applyFont="1" applyBorder="1" applyAlignment="1" applyProtection="1">
      <alignment horizontal="right"/>
      <protection locked="0"/>
    </xf>
    <xf numFmtId="0" fontId="8" fillId="0" borderId="41" xfId="0" applyFont="1" applyBorder="1" applyAlignment="1" applyProtection="1">
      <alignment horizontal="center" vertical="center" wrapText="1" shrinkToFit="1"/>
      <protection locked="0"/>
    </xf>
    <xf numFmtId="0" fontId="8" fillId="0" borderId="42" xfId="0" applyFont="1" applyBorder="1" applyAlignment="1" applyProtection="1">
      <alignment horizontal="center" vertical="center" wrapText="1" shrinkToFit="1"/>
      <protection locked="0"/>
    </xf>
    <xf numFmtId="0" fontId="10" fillId="0" borderId="38" xfId="0" applyFont="1" applyBorder="1" applyAlignment="1" applyProtection="1">
      <alignment horizontal="center" wrapText="1" shrinkToFit="1"/>
      <protection locked="0"/>
    </xf>
    <xf numFmtId="0" fontId="10" fillId="0" borderId="39" xfId="0" applyFont="1" applyBorder="1" applyAlignment="1" applyProtection="1">
      <alignment horizontal="center" wrapText="1" shrinkToFit="1"/>
      <protection locked="0"/>
    </xf>
    <xf numFmtId="0" fontId="10" fillId="0" borderId="40" xfId="0" applyFont="1" applyBorder="1" applyAlignment="1" applyProtection="1">
      <alignment horizontal="center" wrapText="1" shrinkToFit="1"/>
      <protection locked="0"/>
    </xf>
    <xf numFmtId="0" fontId="1" fillId="0" borderId="44"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protection locked="0"/>
    </xf>
    <xf numFmtId="0" fontId="10" fillId="0" borderId="44" xfId="0" applyFont="1" applyBorder="1" applyAlignment="1" applyProtection="1">
      <alignment horizontal="center" wrapText="1" shrinkToFit="1"/>
      <protection locked="0"/>
    </xf>
    <xf numFmtId="0" fontId="10" fillId="0" borderId="45" xfId="0" applyFont="1" applyBorder="1" applyAlignment="1" applyProtection="1">
      <alignment horizontal="center" wrapText="1" shrinkToFit="1"/>
      <protection locked="0"/>
    </xf>
    <xf numFmtId="0" fontId="10" fillId="0" borderId="46" xfId="0" applyFont="1" applyBorder="1" applyAlignment="1" applyProtection="1">
      <alignment horizontal="center" wrapText="1" shrinkToFit="1"/>
      <protection locked="0"/>
    </xf>
    <xf numFmtId="0" fontId="1" fillId="0" borderId="4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shrinkToFit="1"/>
      <protection locked="0"/>
    </xf>
    <xf numFmtId="0" fontId="9" fillId="0" borderId="36" xfId="0" applyFont="1" applyBorder="1" applyAlignment="1" applyProtection="1">
      <alignment horizontal="center" vertical="center" wrapText="1" shrinkToFit="1"/>
      <protection locked="0"/>
    </xf>
    <xf numFmtId="165" fontId="17" fillId="2" borderId="6" xfId="0" applyNumberFormat="1" applyFont="1" applyFill="1" applyBorder="1" applyAlignment="1" applyProtection="1">
      <alignment horizontal="center" vertical="center"/>
      <protection locked="0"/>
    </xf>
    <xf numFmtId="0" fontId="2" fillId="0" borderId="17" xfId="0" applyFont="1" applyBorder="1" applyAlignment="1" applyProtection="1">
      <alignment horizontal="center" vertical="center" wrapText="1" shrinkToFit="1"/>
      <protection locked="0"/>
    </xf>
  </cellXfs>
  <cellStyles count="1">
    <cellStyle name="Standard" xfId="0" builtinId="0"/>
  </cellStyles>
  <dxfs count="0"/>
  <tableStyles count="0" defaultTableStyle="TableStyleMedium2" defaultPivotStyle="PivotStyleLight16"/>
  <colors>
    <mruColors>
      <color rgb="FF9838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19050</xdr:colOff>
      <xdr:row>53</xdr:row>
      <xdr:rowOff>381000</xdr:rowOff>
    </xdr:from>
    <xdr:to>
      <xdr:col>17</xdr:col>
      <xdr:colOff>85725</xdr:colOff>
      <xdr:row>53</xdr:row>
      <xdr:rowOff>381000</xdr:rowOff>
    </xdr:to>
    <xdr:cxnSp macro="">
      <xdr:nvCxnSpPr>
        <xdr:cNvPr id="3" name="Gerade Verbindung 2"/>
        <xdr:cNvCxnSpPr/>
      </xdr:nvCxnSpPr>
      <xdr:spPr>
        <a:xfrm>
          <a:off x="6610350" y="10925175"/>
          <a:ext cx="3400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47623</xdr:colOff>
      <xdr:row>2</xdr:row>
      <xdr:rowOff>9526</xdr:rowOff>
    </xdr:from>
    <xdr:to>
      <xdr:col>7</xdr:col>
      <xdr:colOff>723900</xdr:colOff>
      <xdr:row>51</xdr:row>
      <xdr:rowOff>57150</xdr:rowOff>
    </xdr:to>
    <xdr:sp macro="" textlink="">
      <xdr:nvSpPr>
        <xdr:cNvPr id="1045" name="Textfeld 1"/>
        <xdr:cNvSpPr txBox="1">
          <a:spLocks noChangeArrowheads="1"/>
        </xdr:cNvSpPr>
      </xdr:nvSpPr>
      <xdr:spPr bwMode="auto">
        <a:xfrm>
          <a:off x="47623" y="333376"/>
          <a:ext cx="6276977" cy="7981949"/>
        </a:xfrm>
        <a:prstGeom prst="rect">
          <a:avLst/>
        </a:prstGeom>
        <a:solidFill>
          <a:srgbClr val="FFFFFF"/>
        </a:solidFill>
        <a:ln w="9525">
          <a:solidFill>
            <a:srgbClr val="BCBCBC"/>
          </a:solidFill>
          <a:miter lim="800000"/>
          <a:headEnd/>
          <a:tailEnd/>
        </a:ln>
      </xdr:spPr>
      <xdr:txBody>
        <a:bodyPr vertOverflow="clip" wrap="square" lIns="36576" tIns="32004" rIns="0" bIns="0" anchor="t" upright="1"/>
        <a:lstStyle/>
        <a:p>
          <a:pPr algn="l" rtl="0">
            <a:defRPr sz="1000"/>
          </a:pPr>
          <a:endParaRPr lang="de-DE" sz="1400" b="1"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Die Tabelle errechnet auf der Grundlage der Vorgaben der Handlungshilfe nach Eingabe der Deponieklasse </a:t>
          </a:r>
        </a:p>
        <a:p>
          <a:pPr algn="l" rtl="0">
            <a:defRPr sz="1000"/>
          </a:pPr>
          <a:r>
            <a:rPr lang="de-DE" sz="1100" b="0" i="0" u="none" strike="noStrike" baseline="0">
              <a:solidFill>
                <a:srgbClr val="000000"/>
              </a:solidFill>
              <a:latin typeface="Calibri"/>
            </a:rPr>
            <a:t>(0 – 3) im </a:t>
          </a:r>
          <a:r>
            <a:rPr lang="de-DE" sz="1100" b="1" i="0" u="none" strike="noStrike" baseline="0">
              <a:solidFill>
                <a:srgbClr val="339966"/>
              </a:solidFill>
              <a:latin typeface="Calibri"/>
            </a:rPr>
            <a:t>grün unterlegten </a:t>
          </a:r>
          <a:r>
            <a:rPr lang="de-DE" sz="1100" b="0" i="0" u="none" strike="noStrike" baseline="0">
              <a:solidFill>
                <a:srgbClr val="000000"/>
              </a:solidFill>
              <a:latin typeface="Calibri"/>
            </a:rPr>
            <a:t>Feld und der aus den Untersuchungsberichten in die </a:t>
          </a:r>
          <a:r>
            <a:rPr lang="de-DE" sz="1100" b="1" i="0" u="none" strike="noStrike" baseline="0">
              <a:solidFill>
                <a:srgbClr val="808080"/>
              </a:solidFill>
              <a:latin typeface="Calibri"/>
            </a:rPr>
            <a:t>grauen Felder </a:t>
          </a:r>
          <a:r>
            <a:rPr lang="de-DE" sz="1100" b="0" i="0" u="none" strike="noStrike" baseline="0">
              <a:solidFill>
                <a:srgbClr val="000000"/>
              </a:solidFill>
              <a:latin typeface="Calibri"/>
            </a:rPr>
            <a:t>zu übertragenden Analysenwerte jeweils einen parameterspezifischen Wert der grundlegenden Charakterisierung (WgC). Gleichzeitig wird das Kriterium der „Homogenität“ als Voraussetzung für eine Reduzierung der nach LAGA PN 98 zu untersuchenden Anzahl an Proben überprüft.</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Die in die Tabelle eingefügten Zahlen sind als Beispiele zu verstehen und können überschrieben werden. Bitte benutzen Sie die  Mustertabelle  für die jeweilige Deponie. Sie erhalten diese  direkt von unserem Stoffstrommanagement oder laden sie  von unserer Webseite  </a:t>
          </a:r>
          <a:r>
            <a:rPr lang="de-DE" sz="1100" b="0" i="0" u="sng" strike="noStrike" baseline="0">
              <a:solidFill>
                <a:srgbClr val="000000"/>
              </a:solidFill>
              <a:latin typeface="Calibri"/>
            </a:rPr>
            <a:t>www.avl-ludwigsburg.de  </a:t>
          </a:r>
          <a:r>
            <a:rPr lang="de-DE" sz="1100" b="0" i="0" u="none" strike="noStrike" baseline="0">
              <a:solidFill>
                <a:srgbClr val="000000"/>
              </a:solidFill>
              <a:latin typeface="Calibri"/>
            </a:rPr>
            <a:t>herunter. </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Mit Eingabe der Deponieklasse n werden in der </a:t>
          </a:r>
          <a:r>
            <a:rPr lang="de-DE" sz="1100" b="1" i="0" u="none" strike="noStrike" baseline="0">
              <a:solidFill>
                <a:srgbClr val="0066CC"/>
              </a:solidFill>
              <a:latin typeface="Calibri"/>
            </a:rPr>
            <a:t>blau unterlegten Spalte [ZW DK] </a:t>
          </a:r>
          <a:r>
            <a:rPr lang="de-DE" sz="1100" b="0" i="0" u="none" strike="noStrike" baseline="0">
              <a:solidFill>
                <a:srgbClr val="000000"/>
              </a:solidFill>
              <a:latin typeface="Calibri"/>
            </a:rPr>
            <a:t>die entsprechenden Zuordnungswerte nach Anhang 3 Nr. Tabelle 2 DepV angezeigt. In die grau unterlegten Spalten [MP1 bis MP6 bzw. MP1 bis MP20] sind die vorliegenden Analysenergebnisse einzutragen. Auf Übereinstimmung mit den vorgegebenen Einheiten ist zu achten.</a:t>
          </a:r>
        </a:p>
        <a:p>
          <a:pPr algn="l" rtl="0">
            <a:defRPr sz="1000"/>
          </a:pPr>
          <a:endParaRPr lang="de-DE" sz="1100" b="0" i="0" u="none" strike="noStrike" baseline="0">
            <a:solidFill>
              <a:srgbClr val="000000"/>
            </a:solidFill>
            <a:latin typeface="Calibri"/>
          </a:endParaRPr>
        </a:p>
        <a:p>
          <a:pPr algn="l" rtl="0">
            <a:defRPr sz="1000"/>
          </a:pPr>
          <a:endParaRPr lang="de-DE" sz="1100" b="0" i="0" u="none" strike="noStrike" baseline="0">
            <a:solidFill>
              <a:srgbClr val="000000"/>
            </a:solidFill>
            <a:latin typeface="Calibri"/>
          </a:endParaRPr>
        </a:p>
        <a:p>
          <a:pPr algn="l" rtl="0">
            <a:defRPr sz="1000"/>
          </a:pPr>
          <a:r>
            <a:rPr lang="de-DE" sz="1100" b="1" i="0" u="sng" strike="noStrike" baseline="0">
              <a:solidFill>
                <a:srgbClr val="000000"/>
              </a:solidFill>
              <a:latin typeface="Calibri"/>
            </a:rPr>
            <a:t>Wert der grundlegenden Charakterisierung</a:t>
          </a:r>
          <a:endParaRPr lang="de-DE" sz="1100" b="1" i="0" u="none" strike="noStrike" baseline="0">
            <a:solidFill>
              <a:srgbClr val="000000"/>
            </a:solidFill>
            <a:latin typeface="Calibri"/>
          </a:endParaRP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Entsprechend der Handlungshilfe (Kap. 3.2.2 und Anlage 5 Nr. 5.1) werden bei der Ermittlung des </a:t>
          </a:r>
          <a:r>
            <a:rPr lang="de-DE" sz="1100" b="1" i="0" u="none" strike="noStrike" baseline="0">
              <a:solidFill>
                <a:srgbClr val="333399"/>
              </a:solidFill>
              <a:latin typeface="Calibri"/>
            </a:rPr>
            <a:t>WgC</a:t>
          </a:r>
          <a:r>
            <a:rPr lang="de-DE" sz="1100" b="1" i="0" u="none" strike="noStrike" baseline="0">
              <a:solidFill>
                <a:srgbClr val="000000"/>
              </a:solidFill>
              <a:latin typeface="Calibri"/>
            </a:rPr>
            <a:t> </a:t>
          </a:r>
          <a:r>
            <a:rPr lang="de-DE" sz="1100" b="0" i="0" u="none" strike="noStrike" baseline="0">
              <a:solidFill>
                <a:srgbClr val="000000"/>
              </a:solidFill>
              <a:latin typeface="Calibri"/>
            </a:rPr>
            <a:t>drei Fälle unterschieden:</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a) Betragen die höchsten Analyseergebnisse maximal  50 % des Zuordnungswertes, so  ist der WgC mit dem halben Zuordnungswert anzusetzen. Der Wert wird in der  </a:t>
          </a:r>
          <a:r>
            <a:rPr lang="de-DE" sz="1100" b="1" i="0" u="none" strike="noStrike" baseline="0">
              <a:solidFill>
                <a:srgbClr val="0066CC"/>
              </a:solidFill>
              <a:latin typeface="Calibri"/>
            </a:rPr>
            <a:t>blau  unterlegten Spalte</a:t>
          </a:r>
          <a:r>
            <a:rPr lang="de-DE" sz="1100" b="0" i="0" u="none" strike="noStrike" baseline="0">
              <a:solidFill>
                <a:srgbClr val="000000"/>
              </a:solidFill>
              <a:latin typeface="Calibri"/>
            </a:rPr>
            <a:t> </a:t>
          </a:r>
          <a:r>
            <a:rPr lang="de-DE" sz="1100" b="1" i="0" u="none" strike="noStrike" baseline="0">
              <a:solidFill>
                <a:srgbClr val="0066CC"/>
              </a:solidFill>
              <a:latin typeface="Calibri"/>
            </a:rPr>
            <a:t>[WgC] </a:t>
          </a:r>
          <a:r>
            <a:rPr lang="de-DE" sz="1100" b="1" i="0" u="none" strike="noStrike" baseline="0">
              <a:solidFill>
                <a:srgbClr val="000000"/>
              </a:solidFill>
              <a:latin typeface="Calibri"/>
            </a:rPr>
            <a:t>ausgewiesen.</a:t>
          </a:r>
        </a:p>
        <a:p>
          <a:pPr algn="l" rtl="0">
            <a:defRPr sz="1000"/>
          </a:pPr>
          <a:endParaRPr lang="de-DE" sz="1100" b="1"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b) Betragen die höchsten Analysenergebnisse maximal 100 % des Zuordnungswertes, so  ist der WgC der höchste  gemessene Wert. Der Wert wird in der </a:t>
          </a:r>
          <a:r>
            <a:rPr lang="de-DE" sz="1100" b="1" i="0" u="none" strike="noStrike" baseline="0">
              <a:solidFill>
                <a:srgbClr val="0066CC"/>
              </a:solidFill>
              <a:latin typeface="Calibri"/>
            </a:rPr>
            <a:t>blau unterlegten  Spalte [WgC] </a:t>
          </a:r>
          <a:r>
            <a:rPr lang="de-DE" sz="1100" b="1" i="0" u="none" strike="noStrike" baseline="0">
              <a:solidFill>
                <a:srgbClr val="000000"/>
              </a:solidFill>
              <a:latin typeface="Calibri"/>
            </a:rPr>
            <a:t>ausgewiesen.</a:t>
          </a:r>
        </a:p>
        <a:p>
          <a:pPr algn="l" rtl="0">
            <a:defRPr sz="1000"/>
          </a:pPr>
          <a:endParaRPr lang="de-DE" sz="1100" b="1"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c) Ist das höchste Analysenergebnis größer als der Zuordnungswert, so kann als WgC der höchste bzw. der höchste  nach der 4 von 5 Regel bestimmte Wert gewählt werden. Bei Anwendung der 4 von 5 Regel müssen mindestens   5 Werte vorliegen,  ansonsten gilt der höchste Wert. Der höchste Wert darf dabei allerdings nicht höher  sein als der Wert, der bei einer Kontrollanalyse noch akzeptiert werden könnte.</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Wird in der </a:t>
          </a:r>
          <a:r>
            <a:rPr lang="de-DE" sz="1100" b="1" i="0" u="none" strike="noStrike" baseline="0">
              <a:solidFill>
                <a:srgbClr val="0066CC"/>
              </a:solidFill>
              <a:latin typeface="Calibri"/>
            </a:rPr>
            <a:t>blau unterlegten Spalte [WgC] </a:t>
          </a:r>
          <a:r>
            <a:rPr lang="de-DE" sz="1100" b="1" i="0" u="none" strike="noStrike" baseline="0">
              <a:solidFill>
                <a:srgbClr val="000000"/>
              </a:solidFill>
              <a:latin typeface="Calibri"/>
            </a:rPr>
            <a:t>„manuell“ </a:t>
          </a:r>
          <a:r>
            <a:rPr lang="de-DE" sz="1100" b="0" i="0" u="none" strike="noStrike" baseline="0">
              <a:solidFill>
                <a:srgbClr val="000000"/>
              </a:solidFill>
              <a:latin typeface="Calibri"/>
            </a:rPr>
            <a:t>ausgewiesen, ist  der WgC  vom Abfallerzeuger manuell festzulegen (&gt; ZoW). Für eine Ablagerung ist i.d.R. die Zustimmung der Behörde erforderlich, die  vom Deponiebetreiber zu beantragen ist. Gleichzeitig hat der Deponiebetreiber den Nachweis zu führen, dass durch die Ablagerung dieses Abfalls das Wohl der Allgemeinheit  nicht beeinträchtigt wird.</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Wird in der </a:t>
          </a:r>
          <a:r>
            <a:rPr lang="de-DE" sz="1100" b="1" i="0" u="none" strike="noStrike" baseline="0">
              <a:solidFill>
                <a:srgbClr val="0066CC"/>
              </a:solidFill>
              <a:latin typeface="Calibri"/>
            </a:rPr>
            <a:t>blau unterlegten Spalte [WgC] </a:t>
          </a:r>
          <a:r>
            <a:rPr lang="de-DE" sz="1100" b="0" i="0" u="none" strike="noStrike" baseline="0">
              <a:solidFill>
                <a:srgbClr val="000000"/>
              </a:solidFill>
              <a:latin typeface="Calibri"/>
            </a:rPr>
            <a:t>„---“ ausgewiesen, ist für den jeweiligen Parameter kein ZW in der DepV festgelegt. </a:t>
          </a:r>
        </a:p>
        <a:p>
          <a:pPr algn="l" rtl="0">
            <a:defRPr sz="1000"/>
          </a:pPr>
          <a:endParaRPr lang="de-DE" sz="1100" b="0" i="0" u="none" strike="noStrike" baseline="0">
            <a:solidFill>
              <a:srgbClr val="000000"/>
            </a:solidFill>
            <a:latin typeface="Calibri"/>
          </a:endParaRPr>
        </a:p>
        <a:p>
          <a:pPr algn="l" rtl="0">
            <a:defRPr sz="1000"/>
          </a:pPr>
          <a:r>
            <a:rPr lang="de-DE" sz="1100" b="0" i="0" u="none" strike="noStrike" baseline="0">
              <a:solidFill>
                <a:srgbClr val="000000"/>
              </a:solidFill>
              <a:latin typeface="Calibri"/>
            </a:rPr>
            <a:t>In der letzten Spalte mit der Überschrift „WgC-manuell“  werden die manuell festzulegenden Werte gekennzeichnet </a:t>
          </a:r>
          <a:r>
            <a:rPr lang="de-DE" sz="1100" b="1" i="0" u="none" strike="noStrike" baseline="0">
              <a:solidFill>
                <a:srgbClr val="000000"/>
              </a:solidFill>
              <a:latin typeface="Calibri"/>
            </a:rPr>
            <a:t>[x]</a:t>
          </a:r>
          <a:r>
            <a:rPr lang="de-DE" sz="1100" b="0" i="0" u="none" strike="noStrike" baseline="0">
              <a:solidFill>
                <a:srgbClr val="000000"/>
              </a:solidFill>
              <a:latin typeface="Calibri"/>
            </a:rPr>
            <a:t>.</a:t>
          </a:r>
        </a:p>
        <a:p>
          <a:pPr algn="l" rtl="0">
            <a:defRPr sz="1000"/>
          </a:pPr>
          <a:endParaRPr lang="de-DE" sz="1100" b="1" i="0" u="none" strike="noStrike" baseline="0">
            <a:solidFill>
              <a:srgbClr val="000000"/>
            </a:solidFill>
            <a:latin typeface="Calibri"/>
          </a:endParaRPr>
        </a:p>
        <a:p>
          <a:pPr algn="l" rtl="0">
            <a:defRPr sz="1000"/>
          </a:pPr>
          <a:endParaRPr lang="de-DE" sz="1100" b="1" i="0" u="none" strike="noStrike" baseline="0">
            <a:solidFill>
              <a:srgbClr val="000000"/>
            </a:solidFill>
            <a:latin typeface="Calibri"/>
          </a:endParaRPr>
        </a:p>
      </xdr:txBody>
    </xdr:sp>
    <xdr:clientData/>
  </xdr:twoCellAnchor>
  <xdr:twoCellAnchor>
    <xdr:from>
      <xdr:col>0</xdr:col>
      <xdr:colOff>19050</xdr:colOff>
      <xdr:row>61</xdr:row>
      <xdr:rowOff>28575</xdr:rowOff>
    </xdr:from>
    <xdr:to>
      <xdr:col>7</xdr:col>
      <xdr:colOff>714376</xdr:colOff>
      <xdr:row>93</xdr:row>
      <xdr:rowOff>38100</xdr:rowOff>
    </xdr:to>
    <xdr:sp macro="" textlink="">
      <xdr:nvSpPr>
        <xdr:cNvPr id="2" name="Textfeld 1"/>
        <xdr:cNvSpPr txBox="1"/>
      </xdr:nvSpPr>
      <xdr:spPr>
        <a:xfrm>
          <a:off x="19050" y="9906000"/>
          <a:ext cx="6296026" cy="519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sng" strike="noStrike" kern="0" cap="none" spc="0" normalizeH="0" baseline="0" noProof="0">
              <a:ln>
                <a:noFill/>
              </a:ln>
              <a:solidFill>
                <a:srgbClr val="000000"/>
              </a:solidFill>
              <a:effectLst/>
              <a:uLnTx/>
              <a:uFillTx/>
              <a:latin typeface="+mn-lt"/>
              <a:ea typeface="+mn-ea"/>
              <a:cs typeface="+mn-cs"/>
            </a:rPr>
            <a:t>Homogenität</a:t>
          </a:r>
          <a:endParaRPr kumimoji="0" lang="de-DE" sz="1100" b="1" i="0" u="none" strike="noStrike" kern="0" cap="none" spc="0" normalizeH="0" baseline="0" noProof="0">
            <a:ln>
              <a:noFill/>
            </a:ln>
            <a:solidFill>
              <a:srgbClr val="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0" i="0" u="none" strike="noStrike" kern="0" cap="none" spc="0" normalizeH="0" baseline="0" noProof="0">
              <a:ln>
                <a:noFill/>
              </a:ln>
              <a:solidFill>
                <a:srgbClr val="000000"/>
              </a:solidFill>
              <a:effectLst/>
              <a:uLnTx/>
              <a:uFillTx/>
              <a:latin typeface="+mn-lt"/>
              <a:ea typeface="+mn-ea"/>
              <a:cs typeface="+mn-cs"/>
            </a:rPr>
            <a:t>Die Prüfung der „Homogenität“ erfolgt mit den in den </a:t>
          </a:r>
          <a:r>
            <a:rPr kumimoji="0" lang="de-DE" sz="1100" b="1" i="0" u="none" strike="noStrike" kern="0" cap="none" spc="0" normalizeH="0" baseline="0" noProof="0">
              <a:ln>
                <a:noFill/>
              </a:ln>
              <a:solidFill>
                <a:srgbClr val="FF6600"/>
              </a:solidFill>
              <a:effectLst/>
              <a:uLnTx/>
              <a:uFillTx/>
              <a:latin typeface="+mn-lt"/>
              <a:ea typeface="+mn-ea"/>
              <a:cs typeface="+mn-cs"/>
            </a:rPr>
            <a:t>orange unterlegten Spalten </a:t>
          </a:r>
          <a:r>
            <a:rPr kumimoji="0" lang="de-DE" sz="1100" b="0" i="0" u="none" strike="noStrike" kern="0" cap="none" spc="0" normalizeH="0" baseline="0" noProof="0">
              <a:ln>
                <a:noFill/>
              </a:ln>
              <a:solidFill>
                <a:srgbClr val="000000"/>
              </a:solidFill>
              <a:effectLst/>
              <a:uLnTx/>
              <a:uFillTx/>
              <a:latin typeface="+mn-lt"/>
              <a:ea typeface="+mn-ea"/>
              <a:cs typeface="+mn-cs"/>
            </a:rPr>
            <a:t>errechneten Werten und Angaben und ist nur für die Abfälle durchzuführen, bei denen die nach LAGA-Richtlinie PN 98 ermittelte Probenanzahl  entsprechend den Hinweisen in Anlage 5 Nr. 2 der Handlungshilfe reduziert wurde.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0" i="0" u="none" strike="noStrike" kern="0" cap="none" spc="0" normalizeH="0" baseline="0" noProof="0">
              <a:ln>
                <a:noFill/>
              </a:ln>
              <a:solidFill>
                <a:srgbClr val="000000"/>
              </a:solidFill>
              <a:effectLst/>
              <a:uLnTx/>
              <a:uFillTx/>
              <a:latin typeface="+mn-lt"/>
              <a:ea typeface="+mn-ea"/>
              <a:cs typeface="+mn-cs"/>
            </a:rPr>
            <a:t>Eine ausreichende Homogenität ist danach gegeben, wenn die parameterspezifische Standardabweichung nicht mehr als 20 % des Mittelwertes beträgt. Die Grundgrößen „Standardabweichung“ und „20 % des Mittelwertes“ werden aus den Analysenwerten errechnet und in den </a:t>
          </a:r>
          <a:r>
            <a:rPr kumimoji="0" lang="de-DE" sz="1100" b="1" i="0" u="none" strike="noStrike" kern="0" cap="none" spc="0" normalizeH="0" baseline="0" noProof="0">
              <a:ln>
                <a:noFill/>
              </a:ln>
              <a:solidFill>
                <a:srgbClr val="FF6600"/>
              </a:solidFill>
              <a:effectLst/>
              <a:uLnTx/>
              <a:uFillTx/>
              <a:latin typeface="+mn-lt"/>
              <a:ea typeface="+mn-ea"/>
              <a:cs typeface="+mn-cs"/>
            </a:rPr>
            <a:t>orange unterlegten Feldern </a:t>
          </a:r>
          <a:r>
            <a:rPr kumimoji="0" lang="de-DE" sz="1100" b="0" i="0" u="none" strike="noStrike" kern="0" cap="none" spc="0" normalizeH="0" baseline="0" noProof="0">
              <a:ln>
                <a:noFill/>
              </a:ln>
              <a:solidFill>
                <a:srgbClr val="000000"/>
              </a:solidFill>
              <a:effectLst/>
              <a:uLnTx/>
              <a:uFillTx/>
              <a:latin typeface="+mn-lt"/>
              <a:ea typeface="+mn-ea"/>
              <a:cs typeface="+mn-cs"/>
            </a:rPr>
            <a:t>ausgewiesen. Wird in der </a:t>
          </a:r>
          <a:r>
            <a:rPr kumimoji="0" lang="de-DE" sz="1100" b="1" i="0" u="none" strike="noStrike" kern="0" cap="none" spc="0" normalizeH="0" baseline="0" noProof="0">
              <a:ln>
                <a:noFill/>
              </a:ln>
              <a:solidFill>
                <a:srgbClr val="FF6600"/>
              </a:solidFill>
              <a:effectLst/>
              <a:uLnTx/>
              <a:uFillTx/>
              <a:latin typeface="+mn-lt"/>
              <a:ea typeface="+mn-ea"/>
              <a:cs typeface="+mn-cs"/>
            </a:rPr>
            <a:t>orange unterlegten Spalte </a:t>
          </a:r>
          <a:r>
            <a:rPr kumimoji="0" lang="de-DE" sz="1100" b="0" i="0" u="none" strike="noStrike" kern="0" cap="none" spc="0" normalizeH="0" baseline="0" noProof="0">
              <a:ln>
                <a:noFill/>
              </a:ln>
              <a:solidFill>
                <a:srgbClr val="000000"/>
              </a:solidFill>
              <a:effectLst/>
              <a:uLnTx/>
              <a:uFillTx/>
              <a:latin typeface="+mn-lt"/>
              <a:ea typeface="+mn-ea"/>
              <a:cs typeface="+mn-cs"/>
            </a:rPr>
            <a:t>[homo- / inhomogen] </a:t>
          </a:r>
          <a:r>
            <a:rPr kumimoji="0" lang="de-DE" sz="1100" b="1" i="0" u="none" strike="noStrike" kern="0" cap="none" spc="0" normalizeH="0" baseline="0" noProof="0">
              <a:ln>
                <a:noFill/>
              </a:ln>
              <a:solidFill>
                <a:srgbClr val="FF6600"/>
              </a:solidFill>
              <a:effectLst/>
              <a:uLnTx/>
              <a:uFillTx/>
              <a:latin typeface="+mn-lt"/>
              <a:ea typeface="+mn-ea"/>
              <a:cs typeface="+mn-cs"/>
            </a:rPr>
            <a:t>inhomogen</a:t>
          </a:r>
          <a:r>
            <a:rPr kumimoji="0" lang="de-DE" sz="1100" b="1" i="0" u="none" strike="noStrike" kern="0" cap="none" spc="0" normalizeH="0" baseline="0" noProof="0">
              <a:ln>
                <a:noFill/>
              </a:ln>
              <a:solidFill>
                <a:srgbClr val="000000"/>
              </a:solidFill>
              <a:effectLst/>
              <a:uLnTx/>
              <a:uFillTx/>
              <a:latin typeface="+mn-lt"/>
              <a:ea typeface="+mn-ea"/>
              <a:cs typeface="+mn-cs"/>
            </a:rPr>
            <a:t> </a:t>
          </a:r>
          <a:r>
            <a:rPr kumimoji="0" lang="de-DE" sz="1100" b="0" i="0" u="none" strike="noStrike" kern="0" cap="none" spc="0" normalizeH="0" baseline="0" noProof="0">
              <a:ln>
                <a:noFill/>
              </a:ln>
              <a:solidFill>
                <a:srgbClr val="000000"/>
              </a:solidFill>
              <a:effectLst/>
              <a:uLnTx/>
              <a:uFillTx/>
              <a:latin typeface="+mn-lt"/>
              <a:ea typeface="+mn-ea"/>
              <a:cs typeface="+mn-cs"/>
            </a:rPr>
            <a:t>ausgewiesen, liegen die Voraussetzungen für eine Reduzierung der Anzahl der zu untersuchenden Proben nicht vor. Weitere analytische Untersuchungen sind für die grundlegende Charakterisierung und die Festlegung des parameterspezifischen WgC erforderlich (vergleiche Anlage 5 Nr. 5).</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0" i="0" u="none" strike="noStrike" kern="0" cap="none" spc="0" normalizeH="0" baseline="0" noProof="0">
              <a:ln>
                <a:noFill/>
              </a:ln>
              <a:solidFill>
                <a:srgbClr val="000000"/>
              </a:solidFill>
              <a:effectLst/>
              <a:uLnTx/>
              <a:uFillTx/>
              <a:latin typeface="+mn-lt"/>
              <a:ea typeface="+mn-ea"/>
              <a:cs typeface="+mn-cs"/>
            </a:rPr>
            <a:t>Wird in der </a:t>
          </a:r>
          <a:r>
            <a:rPr kumimoji="0" lang="de-DE" sz="1100" b="1" i="0" u="none" strike="noStrike" kern="0" cap="none" spc="0" normalizeH="0" baseline="0" noProof="0">
              <a:ln>
                <a:noFill/>
              </a:ln>
              <a:solidFill>
                <a:srgbClr val="FF6600"/>
              </a:solidFill>
              <a:effectLst/>
              <a:uLnTx/>
              <a:uFillTx/>
              <a:latin typeface="+mn-lt"/>
              <a:ea typeface="+mn-ea"/>
              <a:cs typeface="+mn-cs"/>
            </a:rPr>
            <a:t>orange unterlegten Spalte </a:t>
          </a:r>
          <a:r>
            <a:rPr kumimoji="0" lang="de-DE" sz="1100" b="0" i="0" u="none" strike="noStrike" kern="0" cap="none" spc="0" normalizeH="0" baseline="0" noProof="0">
              <a:ln>
                <a:noFill/>
              </a:ln>
              <a:solidFill>
                <a:srgbClr val="000000"/>
              </a:solidFill>
              <a:effectLst/>
              <a:uLnTx/>
              <a:uFillTx/>
              <a:latin typeface="+mn-lt"/>
              <a:ea typeface="+mn-ea"/>
              <a:cs typeface="+mn-cs"/>
            </a:rPr>
            <a:t>[homo-/inhomogen] </a:t>
          </a:r>
          <a:r>
            <a:rPr kumimoji="0" lang="de-DE" sz="1100" b="1" i="0" u="none" strike="noStrike" kern="0" cap="none" spc="0" normalizeH="0" baseline="0" noProof="0">
              <a:ln>
                <a:noFill/>
              </a:ln>
              <a:solidFill>
                <a:srgbClr val="FF6600"/>
              </a:solidFill>
              <a:effectLst/>
              <a:uLnTx/>
              <a:uFillTx/>
              <a:latin typeface="+mn-lt"/>
              <a:ea typeface="+mn-ea"/>
              <a:cs typeface="+mn-cs"/>
            </a:rPr>
            <a:t>&lt; 25% </a:t>
          </a:r>
          <a:r>
            <a:rPr kumimoji="0" lang="de-DE" sz="1100" b="0" i="0" u="none" strike="noStrike" kern="0" cap="none" spc="0" normalizeH="0" baseline="0" noProof="0">
              <a:ln>
                <a:noFill/>
              </a:ln>
              <a:solidFill>
                <a:srgbClr val="000000"/>
              </a:solidFill>
              <a:effectLst/>
              <a:uLnTx/>
              <a:uFillTx/>
              <a:latin typeface="+mn-lt"/>
              <a:ea typeface="+mn-ea"/>
              <a:cs typeface="+mn-cs"/>
            </a:rPr>
            <a:t>ausgewiesen, sind alle Messwerte für diesen Parameter kleiner als 25 % des Zuordnungswertes. Dieser Parameter ist für die Beurteilung der Homogenität damit nicht relevant (vergl. Anhang 5 Nr. 5.2).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0" i="0" u="none" strike="noStrike" kern="0" cap="none" spc="0" normalizeH="0" baseline="0" noProof="0">
              <a:ln>
                <a:noFill/>
              </a:ln>
              <a:solidFill>
                <a:srgbClr val="000000"/>
              </a:solidFill>
              <a:effectLst/>
              <a:uLnTx/>
              <a:uFillTx/>
              <a:latin typeface="+mn-lt"/>
              <a:ea typeface="+mn-ea"/>
              <a:cs typeface="+mn-cs"/>
            </a:rPr>
            <a:t>Eine Beurteilung  der Homogenität erfolgt nur, wenn für den jeweiligen Parameter auch in der Spalte  ZW DK ein Zuordnungswert für die Deponieklasse ausgewiesen ist.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100" b="0" i="0" u="none" strike="noStrike" kern="0" cap="none" spc="0" normalizeH="0" baseline="0" noProof="0">
            <a:ln>
              <a:noFill/>
            </a:ln>
            <a:solidFill>
              <a:srgbClr val="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mn-lt"/>
              <a:ea typeface="+mn-ea"/>
              <a:cs typeface="+mn-cs"/>
            </a:rPr>
            <a:t>Die ausgefüllte Tabelle ist Teil der vom Abfallerzeuger vorzulegenden grundlegenden Charakterisierung  des Abfalls (vergl. Anlage 1 der "Handlungshilfe  Neue Deponieverordnung" ) und vom verantwortlichen Ersteller zu unterzeichnen. Die gewählten WgC sind (in Abstimmung mit dem Deponiebetreiber) in der entsprechenden Spalte einzutragen. Ist eine manuelle Festlegung des WgC erforderlich (ZoW ist überschritten), dann ist  eine Ablagerung/Verwertung  i.d.R. nur auf Antrag und mit Zustimmung der Behörde zulässig.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Layout" topLeftCell="A27" zoomScaleNormal="90" workbookViewId="0">
      <selection activeCell="G47" sqref="G47:G53"/>
    </sheetView>
  </sheetViews>
  <sheetFormatPr baseColWidth="10" defaultColWidth="5.140625" defaultRowHeight="12.75" x14ac:dyDescent="0.2"/>
  <cols>
    <col min="1" max="1" width="8.85546875" style="13" customWidth="1"/>
    <col min="2" max="2" width="24.42578125" style="13" customWidth="1"/>
    <col min="3" max="3" width="9.28515625" style="87" customWidth="1"/>
    <col min="4" max="4" width="8.7109375" style="87" customWidth="1"/>
    <col min="5" max="5" width="8.5703125" style="87" customWidth="1"/>
    <col min="6" max="6" width="8" style="87" customWidth="1"/>
    <col min="7" max="7" width="9" style="87" customWidth="1"/>
    <col min="8" max="8" width="8.28515625" style="87" customWidth="1"/>
    <col min="9" max="9" width="8.140625" style="87" customWidth="1"/>
    <col min="10" max="10" width="7.7109375" style="87" customWidth="1"/>
    <col min="11" max="11" width="8.42578125" style="87" customWidth="1"/>
    <col min="12" max="12" width="10.42578125" style="87" customWidth="1"/>
    <col min="13" max="13" width="9" style="13" customWidth="1"/>
    <col min="14" max="14" width="9.5703125" style="13" customWidth="1"/>
    <col min="15" max="15" width="5" style="87" customWidth="1"/>
    <col min="16" max="16384" width="5.140625" style="13"/>
  </cols>
  <sheetData>
    <row r="1" spans="1:15" s="11" customFormat="1" ht="54" customHeight="1" thickBot="1" x14ac:dyDescent="0.25">
      <c r="A1" s="203" t="s">
        <v>136</v>
      </c>
      <c r="B1" s="204"/>
      <c r="C1" s="10">
        <v>2</v>
      </c>
      <c r="D1" s="209" t="s">
        <v>3</v>
      </c>
      <c r="E1" s="210"/>
      <c r="F1" s="210"/>
      <c r="G1" s="210"/>
      <c r="H1" s="210"/>
      <c r="I1" s="211"/>
      <c r="J1" s="206" t="s">
        <v>37</v>
      </c>
      <c r="K1" s="207"/>
      <c r="L1" s="208"/>
      <c r="M1" s="216" t="s">
        <v>135</v>
      </c>
      <c r="N1" s="217"/>
      <c r="O1" s="220" t="s">
        <v>104</v>
      </c>
    </row>
    <row r="2" spans="1:15" ht="19.5" customHeight="1" thickBot="1" x14ac:dyDescent="0.25">
      <c r="A2" s="12"/>
      <c r="B2" s="205" t="s">
        <v>2</v>
      </c>
      <c r="C2" s="205"/>
      <c r="D2" s="212">
        <v>6052</v>
      </c>
      <c r="E2" s="214">
        <v>6053</v>
      </c>
      <c r="F2" s="214">
        <v>6050</v>
      </c>
      <c r="G2" s="214">
        <v>6051</v>
      </c>
      <c r="H2" s="214" t="s">
        <v>35</v>
      </c>
      <c r="I2" s="222" t="s">
        <v>36</v>
      </c>
      <c r="J2" s="224" t="s">
        <v>126</v>
      </c>
      <c r="K2" s="226" t="s">
        <v>96</v>
      </c>
      <c r="L2" s="228" t="s">
        <v>127</v>
      </c>
      <c r="M2" s="218"/>
      <c r="N2" s="219"/>
      <c r="O2" s="221"/>
    </row>
    <row r="3" spans="1:15" ht="21" customHeight="1" thickBot="1" x14ac:dyDescent="0.25">
      <c r="A3" s="14" t="s">
        <v>1</v>
      </c>
      <c r="B3" s="15" t="s">
        <v>0</v>
      </c>
      <c r="C3" s="16" t="s">
        <v>128</v>
      </c>
      <c r="D3" s="213"/>
      <c r="E3" s="215"/>
      <c r="F3" s="215"/>
      <c r="G3" s="215"/>
      <c r="H3" s="215"/>
      <c r="I3" s="223"/>
      <c r="J3" s="225"/>
      <c r="K3" s="227"/>
      <c r="L3" s="229"/>
      <c r="M3" s="17" t="s">
        <v>33</v>
      </c>
      <c r="N3" s="18" t="s">
        <v>98</v>
      </c>
      <c r="O3" s="221"/>
    </row>
    <row r="4" spans="1:15" ht="21" customHeight="1" thickBot="1" x14ac:dyDescent="0.25">
      <c r="A4" s="19">
        <v>1</v>
      </c>
      <c r="B4" s="20" t="s">
        <v>34</v>
      </c>
      <c r="C4" s="21"/>
      <c r="D4" s="22"/>
      <c r="E4" s="22"/>
      <c r="F4" s="23"/>
      <c r="G4" s="23"/>
      <c r="H4" s="23"/>
      <c r="I4" s="23"/>
      <c r="J4" s="24"/>
      <c r="K4" s="24"/>
      <c r="L4" s="25"/>
      <c r="M4" s="26"/>
      <c r="N4" s="27"/>
      <c r="O4" s="28"/>
    </row>
    <row r="5" spans="1:15" ht="16.5" customHeight="1" x14ac:dyDescent="0.2">
      <c r="A5" s="29" t="s">
        <v>38</v>
      </c>
      <c r="B5" s="30" t="s">
        <v>4</v>
      </c>
      <c r="C5" s="31" t="s">
        <v>74</v>
      </c>
      <c r="D5" s="125"/>
      <c r="E5" s="32"/>
      <c r="F5" s="32"/>
      <c r="G5" s="32"/>
      <c r="H5" s="32"/>
      <c r="I5" s="33"/>
      <c r="J5" s="94" t="str">
        <f>IF(COUNTBLANK(D5:I5)&gt;5,"",IF(SUM(D5:I5)=0,"---",0.2*AVERAGE(D5:I5)))</f>
        <v/>
      </c>
      <c r="K5" s="95" t="str">
        <f>IF(COUNTBLANK(D5:I5)&gt;5,"",IF(COUNT(D5:I5)&lt;2,"---",STDEV(D5:I5)))</f>
        <v/>
      </c>
      <c r="L5" s="96" t="str">
        <f>IF(COUNTBLANK(D5:I5)&gt;5,"",IF(ISTEXT(N5),"kein ZW",IF(SUM(D5:I5)=0,"---",IF(MAX(D5:I5)&lt;(0.25*N5),"&lt; 25% ZW",IF(K5="","",IF(K5&gt;J5,"inhomogen","homogen"))))))</f>
        <v/>
      </c>
      <c r="M5" s="97" t="str">
        <f>IF(N5="","---",IF(L5="","",IF(L5="---",0.5*N5,IF(AND(D5&lt;=0.5*N5,E5&lt;=0.5*N5,F5&lt;=0.5*N5,G5&lt;=0.5*N5,H5&lt;=0.5*N5,I5&lt;=0.5*N5),0.5*N5,IF(AND(D5&lt;=N5,E5&lt;=N5,F5&lt;=N5,G5&lt;=N5,H5&lt;=N5,I5&lt;=N5),MAX(D5:I5),"manuell")))))</f>
        <v/>
      </c>
      <c r="N5" s="98">
        <f>IF($C$1="",3,IF($C$1=1,3,IF($C$1=2,5,IF($C$1=3,10,3))))</f>
        <v>5</v>
      </c>
      <c r="O5" s="99" t="str">
        <f>IF(N5="","",IF(L5="---","",IF(AND(D5&lt;=0.5*N5,E5&lt;=0.5*N5,F5&lt;=0.5*N5,G5&lt;=0.5*N5,H5&lt;=0.5*N5,I5&lt;=0.5*N5),"",IF(AND(D5&lt;=N5,E5&lt;=N5,F5&lt;=N5,G5&lt;=N5,H5&lt;=N5,I5&lt;=N5),"","X"))))</f>
        <v/>
      </c>
    </row>
    <row r="6" spans="1:15" ht="18" customHeight="1" thickBot="1" x14ac:dyDescent="0.25">
      <c r="A6" s="34" t="s">
        <v>39</v>
      </c>
      <c r="B6" s="35" t="s">
        <v>5</v>
      </c>
      <c r="C6" s="36" t="s">
        <v>74</v>
      </c>
      <c r="D6" s="130"/>
      <c r="E6" s="37"/>
      <c r="F6" s="37"/>
      <c r="G6" s="37"/>
      <c r="H6" s="37"/>
      <c r="I6" s="38"/>
      <c r="J6" s="100" t="str">
        <f>IF(COUNTBLANK(D6:I6)&gt;5,"",IF(SUM(D6:I6)=0,"---",0.2*AVERAGE(D6:I6)))</f>
        <v/>
      </c>
      <c r="K6" s="101" t="str">
        <f>IF(COUNTBLANK(D6:I6)&gt;5,"",IF(COUNT(D6:I6)&lt;2,"---",STDEV(D6:I6)))</f>
        <v/>
      </c>
      <c r="L6" s="102" t="str">
        <f>IF(COUNTBLANK(D6:I6)&gt;5,"",IF(ISTEXT(N6),"kein ZW",IF(SUM(D6:I6)=0,"---",IF(MAX(D6:I6)&lt;(0.25*N6),"&lt; 25% ZW",IF(K6="","",IF(K6&gt;J6,"inhomogen","homogen"))))))</f>
        <v/>
      </c>
      <c r="M6" s="103" t="str">
        <f>IF(N6="","---",IF(L6="","",IF(L6="---",0.5*N6,IF(AND(D6&lt;=0.5*N6,E6&lt;=0.5*N6,F6&lt;=0.5*N6,G6&lt;=0.5*N6,H6&lt;=0.5*N6,I6&lt;=0.5*N6),0.5*N6,IF(AND(D6&lt;=N6,E6&lt;=N6,F6&lt;=N6,G6&lt;=N6,H6&lt;=N6,I6&lt;=N6),MAX(D6:I6),"manuell")))))</f>
        <v/>
      </c>
      <c r="N6" s="104">
        <f>IF($C$1="",1,IF($C$1=1,1,IF($C$1=2,3,IF($C$1=3,6,1))))</f>
        <v>3</v>
      </c>
      <c r="O6" s="105" t="str">
        <f>IF(N6="","",IF(L6="---","",IF(AND(D6&lt;=0.5*N6,E6&lt;=0.5*N6,F6&lt;=0.5*N6,G6&lt;=0.5*N6,H6&lt;=0.5*N6,I6&lt;=0.5*N6),"",IF(AND(D6&lt;=N6,E6&lt;=N6,F6&lt;=N6,G6&lt;=N6,H6&lt;=N6,I6&lt;=N6),"","X"))))</f>
        <v/>
      </c>
    </row>
    <row r="7" spans="1:15" ht="18.75" customHeight="1" x14ac:dyDescent="0.2">
      <c r="A7" s="19">
        <v>2</v>
      </c>
      <c r="B7" s="41" t="s">
        <v>17</v>
      </c>
      <c r="C7" s="42"/>
      <c r="D7" s="136"/>
      <c r="E7" s="43"/>
      <c r="F7" s="43"/>
      <c r="G7" s="43"/>
      <c r="H7" s="43"/>
      <c r="I7" s="43"/>
      <c r="J7" s="44"/>
      <c r="K7" s="44"/>
      <c r="L7" s="45"/>
      <c r="M7" s="46"/>
      <c r="N7" s="47"/>
      <c r="O7" s="48"/>
    </row>
    <row r="8" spans="1:15" ht="16.350000000000001" customHeight="1" x14ac:dyDescent="0.2">
      <c r="A8" s="49" t="s">
        <v>40</v>
      </c>
      <c r="B8" s="50" t="s">
        <v>9</v>
      </c>
      <c r="C8" s="51" t="s">
        <v>75</v>
      </c>
      <c r="D8" s="143"/>
      <c r="E8" s="53"/>
      <c r="F8" s="53"/>
      <c r="G8" s="53"/>
      <c r="H8" s="53"/>
      <c r="I8" s="54"/>
      <c r="J8" s="100" t="str">
        <f>IF(COUNTBLANK(D8:I8)&gt;5,"",IF(SUM(D8:I8)=0,"---",0.2*AVERAGE(D8:I8)))</f>
        <v/>
      </c>
      <c r="K8" s="101" t="str">
        <f>IF(COUNTBLANK(D8:I8)&gt;5,"",IF(COUNT(D8:I8)&lt;2,"---",STDEV(D8:I8)))</f>
        <v/>
      </c>
      <c r="L8" s="102" t="str">
        <f>IF(COUNTBLANK(D8:I8)&gt;5,"",IF(ISTEXT(N8),"kein ZW",IF(SUM(D8:I8)=0,"---",IF(MAX(D8:I8)&lt;(0.25*N8),"&lt; 25% ZW",IF(K8="","",IF(K8&gt;J8,"inhomogen","homogen"))))))</f>
        <v/>
      </c>
      <c r="M8" s="103" t="str">
        <f>IF(N8="","---",IF(L8="","",IF(L8="---",0.5*N8,IF(AND(D8&lt;=0.5*N8,E8&lt;=0.5*N8,F8&lt;=0.5*N8,G8&lt;=0.5*N8,H8&lt;=0.5*N8,I8&lt;=0.5*N8),0.5*N8,IF(AND(D8&lt;=N8,E8&lt;=N8,F8&lt;=N8,G8&lt;=N8,H8&lt;=N8,I8&lt;=N8),MAX(D8:I8),"manuell")))))</f>
        <v/>
      </c>
      <c r="N8" s="106">
        <f>IF($C$1="",1,IF($C$1=1,6,IF($C$1=2,6,IF($C$1=3,6,6))))</f>
        <v>6</v>
      </c>
      <c r="O8" s="105" t="str">
        <f>IF(N8="","",IF(L8="---","",IF(AND(D8&lt;=0.5*N8,E8&lt;=0.5*N8,F8&lt;=0.5*N8,G8&lt;=0.5*N8,H8&lt;=0.5*N8,I8&lt;=0.5*N8),"",IF(AND(D8&lt;=N8,E8&lt;=N8,F8&lt;=N8,G8&lt;=N8,H8&lt;=N8,I8&lt;=N8),"","X"))))</f>
        <v/>
      </c>
    </row>
    <row r="9" spans="1:15" ht="30" customHeight="1" x14ac:dyDescent="0.2">
      <c r="A9" s="49" t="s">
        <v>41</v>
      </c>
      <c r="B9" s="56" t="s">
        <v>129</v>
      </c>
      <c r="C9" s="51" t="s">
        <v>75</v>
      </c>
      <c r="D9" s="150"/>
      <c r="E9" s="57"/>
      <c r="F9" s="57"/>
      <c r="G9" s="57"/>
      <c r="H9" s="57"/>
      <c r="I9" s="58"/>
      <c r="J9" s="100" t="str">
        <f t="shared" ref="J9:J21" si="0">IF(COUNTBLANK(D9:I9)&gt;5,"",IF(SUM(D9:I9)=0,"---",0.2*AVERAGE(D9:I9)))</f>
        <v/>
      </c>
      <c r="K9" s="101" t="str">
        <f t="shared" ref="K9:K21" si="1">IF(COUNTBLANK(D9:I9)&gt;5,"",IF(COUNT(D9:I9)&lt;2,"---",STDEV(D9:I9)))</f>
        <v/>
      </c>
      <c r="L9" s="102" t="str">
        <f t="shared" ref="L9:L21" si="2">IF(COUNTBLANK(D9:I9)&gt;5,"",IF(ISTEXT(N9),"kein ZW",IF(SUM(D9:I9)=0,"---",IF(MAX(D9:I9)&lt;(0.25*N9),"&lt; 25% ZW",IF(K9="","",IF(K9&gt;J9,"inhomogen","homogen"))))))</f>
        <v/>
      </c>
      <c r="M9" s="103" t="str">
        <f t="shared" ref="M9:M21" si="3">IF(N9="","---",IF(L9="","",IF(L9="---",0.5*N9,IF(AND(D9&lt;=0.5*N9,E9&lt;=0.5*N9,F9&lt;=0.5*N9,G9&lt;=0.5*N9,H9&lt;=0.5*N9,I9&lt;=0.5*N9),0.5*N9,IF(AND(D9&lt;=N9,E9&lt;=N9,F9&lt;=N9,G9&lt;=N9,H9&lt;=N9,I9&lt;=N9),MAX(D9:I9),"manuell")))))</f>
        <v/>
      </c>
      <c r="N9" s="106">
        <f>IF($C$1="",0.02,IF($C$1=1,5,IF($C$1=2,10,IF($C$1=3,10,1))))</f>
        <v>10</v>
      </c>
      <c r="O9" s="105" t="str">
        <f t="shared" ref="O9:O21" si="4">IF(N9="","",IF(L9="---","",IF(AND(D9&lt;=0.5*N9,E9&lt;=0.5*N9,F9&lt;=0.5*N9,G9&lt;=0.5*N9,H9&lt;=0.5*N9,I9&lt;=0.5*N9),"",IF(AND(D9&lt;=N9,E9&lt;=N9,F9&lt;=N9,G9&lt;=N9,H9&lt;=N9,I9&lt;=N9),"","X"))))</f>
        <v/>
      </c>
    </row>
    <row r="10" spans="1:15" ht="16.350000000000001" customHeight="1" x14ac:dyDescent="0.2">
      <c r="A10" s="49" t="s">
        <v>42</v>
      </c>
      <c r="B10" s="50" t="s">
        <v>6</v>
      </c>
      <c r="C10" s="51" t="s">
        <v>75</v>
      </c>
      <c r="D10" s="143"/>
      <c r="E10" s="53"/>
      <c r="F10" s="53"/>
      <c r="G10" s="53"/>
      <c r="H10" s="53"/>
      <c r="I10" s="54"/>
      <c r="J10" s="107" t="str">
        <f t="shared" si="0"/>
        <v/>
      </c>
      <c r="K10" s="108" t="str">
        <f t="shared" si="1"/>
        <v/>
      </c>
      <c r="L10" s="102" t="str">
        <f t="shared" si="2"/>
        <v/>
      </c>
      <c r="M10" s="103" t="str">
        <f t="shared" si="3"/>
        <v/>
      </c>
      <c r="N10" s="106">
        <f>IF($C$1="",100,IF($C$1=1,4000,IF($C$1=2,8000,IF($C$1=3,8000,500))))</f>
        <v>8000</v>
      </c>
      <c r="O10" s="105" t="str">
        <f t="shared" si="4"/>
        <v/>
      </c>
    </row>
    <row r="11" spans="1:15" ht="16.350000000000001" customHeight="1" x14ac:dyDescent="0.2">
      <c r="A11" s="49" t="s">
        <v>43</v>
      </c>
      <c r="B11" s="50" t="s">
        <v>19</v>
      </c>
      <c r="C11" s="51" t="s">
        <v>75</v>
      </c>
      <c r="D11" s="143"/>
      <c r="E11" s="53"/>
      <c r="F11" s="53"/>
      <c r="G11" s="53"/>
      <c r="H11" s="53"/>
      <c r="I11" s="54"/>
      <c r="J11" s="100" t="str">
        <f t="shared" si="0"/>
        <v/>
      </c>
      <c r="K11" s="101" t="str">
        <f t="shared" si="1"/>
        <v/>
      </c>
      <c r="L11" s="102" t="str">
        <f t="shared" si="2"/>
        <v/>
      </c>
      <c r="M11" s="103" t="str">
        <f t="shared" si="3"/>
        <v/>
      </c>
      <c r="N11" s="106">
        <f>IF($C$1="",30,IF($C$1=1,500,IF($C$1=2,3000,IF($C$1=3,3000,30))))</f>
        <v>3000</v>
      </c>
      <c r="O11" s="105" t="str">
        <f t="shared" si="4"/>
        <v/>
      </c>
    </row>
    <row r="12" spans="1:15" ht="18.75" customHeight="1" x14ac:dyDescent="0.2">
      <c r="A12" s="49" t="s">
        <v>44</v>
      </c>
      <c r="B12" s="59" t="s">
        <v>7</v>
      </c>
      <c r="C12" s="51" t="s">
        <v>75</v>
      </c>
      <c r="D12" s="143"/>
      <c r="E12" s="53"/>
      <c r="F12" s="53"/>
      <c r="G12" s="53"/>
      <c r="H12" s="53"/>
      <c r="I12" s="54"/>
      <c r="J12" s="100" t="str">
        <f t="shared" si="0"/>
        <v/>
      </c>
      <c r="K12" s="101" t="str">
        <f t="shared" si="1"/>
        <v/>
      </c>
      <c r="L12" s="102" t="str">
        <f t="shared" si="2"/>
        <v/>
      </c>
      <c r="M12" s="103" t="str">
        <f t="shared" si="3"/>
        <v>---</v>
      </c>
      <c r="N12" s="109" t="str">
        <f>IF($C$1="","",IF($C$1=1,"",IF($C$1=2,"",IF($C$1=3,"",""))))</f>
        <v/>
      </c>
      <c r="O12" s="105" t="str">
        <f t="shared" si="4"/>
        <v/>
      </c>
    </row>
    <row r="13" spans="1:15" ht="32.25" customHeight="1" x14ac:dyDescent="0.2">
      <c r="A13" s="49" t="s">
        <v>45</v>
      </c>
      <c r="B13" s="59" t="s">
        <v>8</v>
      </c>
      <c r="C13" s="60" t="s">
        <v>76</v>
      </c>
      <c r="D13" s="143"/>
      <c r="E13" s="53"/>
      <c r="F13" s="53"/>
      <c r="G13" s="53"/>
      <c r="H13" s="53"/>
      <c r="I13" s="54"/>
      <c r="J13" s="100" t="str">
        <f t="shared" si="0"/>
        <v/>
      </c>
      <c r="K13" s="101" t="str">
        <f t="shared" si="1"/>
        <v/>
      </c>
      <c r="L13" s="102" t="str">
        <f>IF(COUNTBLANK(D13:I13)&gt;5,"",IF(ISTEXT(N13),"kein ZW",IF(SUM(D13:I13)=0,"---",IF(MAX(D13:I13)&lt;(0.25*N13),"&lt; 25% ZW",IF(K13="","",IF(K13&gt;J13,"inhomogen","homogen"))))))</f>
        <v/>
      </c>
      <c r="M13" s="103" t="str">
        <f t="shared" si="3"/>
        <v>---</v>
      </c>
      <c r="N13" s="109" t="str">
        <f>IF($C$1="","",IF($C$1=1,"",IF($C$1=2,"",IF($C$1=3,"",""))))</f>
        <v/>
      </c>
      <c r="O13" s="105" t="str">
        <f t="shared" si="4"/>
        <v/>
      </c>
    </row>
    <row r="14" spans="1:15" ht="31.5" customHeight="1" x14ac:dyDescent="0.2">
      <c r="A14" s="49" t="s">
        <v>46</v>
      </c>
      <c r="B14" s="59" t="s">
        <v>20</v>
      </c>
      <c r="C14" s="51" t="s">
        <v>74</v>
      </c>
      <c r="D14" s="52"/>
      <c r="E14" s="53"/>
      <c r="F14" s="53"/>
      <c r="G14" s="53"/>
      <c r="H14" s="53"/>
      <c r="I14" s="54"/>
      <c r="J14" s="100" t="str">
        <f t="shared" si="0"/>
        <v/>
      </c>
      <c r="K14" s="101" t="str">
        <f t="shared" si="1"/>
        <v/>
      </c>
      <c r="L14" s="102" t="str">
        <f>IF(COUNTBLANK(D14:I14)&gt;5,"",IF(ISTEXT(N14),"kein ZW",IF(SUM(D14:I14)=0,"---",IF(MAX(D14:I14)&lt;(0.25*N14),"&lt; 25% ZW",IF(K14="","",IF(K14&gt;J14,"inhomogen","homogen"))))))</f>
        <v/>
      </c>
      <c r="M14" s="103" t="str">
        <f t="shared" si="3"/>
        <v/>
      </c>
      <c r="N14" s="106">
        <f>IF($C$1="","",IF($C$1=1,0.4,IF($C$1=2,0.8,IF($C$1=3,4,0.1))))</f>
        <v>0.8</v>
      </c>
      <c r="O14" s="105" t="str">
        <f t="shared" si="4"/>
        <v/>
      </c>
    </row>
    <row r="15" spans="1:15" ht="16.350000000000001" customHeight="1" x14ac:dyDescent="0.2">
      <c r="A15" s="49" t="s">
        <v>47</v>
      </c>
      <c r="B15" s="59" t="s">
        <v>10</v>
      </c>
      <c r="C15" s="51" t="s">
        <v>75</v>
      </c>
      <c r="D15" s="143"/>
      <c r="E15" s="53"/>
      <c r="F15" s="53"/>
      <c r="G15" s="53"/>
      <c r="H15" s="53"/>
      <c r="I15" s="54"/>
      <c r="J15" s="100" t="str">
        <f t="shared" si="0"/>
        <v/>
      </c>
      <c r="K15" s="101" t="str">
        <f t="shared" si="1"/>
        <v/>
      </c>
      <c r="L15" s="102" t="str">
        <f t="shared" si="2"/>
        <v/>
      </c>
      <c r="M15" s="103" t="str">
        <f t="shared" si="3"/>
        <v>---</v>
      </c>
      <c r="N15" s="109" t="str">
        <f t="shared" ref="N15:N21" si="5">IF($C$1="","",IF($C$1=1,"",IF($C$1=2,"",IF($C$1=3,"",""))))</f>
        <v/>
      </c>
      <c r="O15" s="105" t="str">
        <f t="shared" si="4"/>
        <v/>
      </c>
    </row>
    <row r="16" spans="1:15" ht="16.350000000000001" customHeight="1" x14ac:dyDescent="0.2">
      <c r="A16" s="49" t="s">
        <v>48</v>
      </c>
      <c r="B16" s="59" t="s">
        <v>11</v>
      </c>
      <c r="C16" s="51" t="s">
        <v>75</v>
      </c>
      <c r="D16" s="155"/>
      <c r="E16" s="61"/>
      <c r="F16" s="61"/>
      <c r="G16" s="61"/>
      <c r="H16" s="61"/>
      <c r="I16" s="62"/>
      <c r="J16" s="100" t="str">
        <f t="shared" si="0"/>
        <v/>
      </c>
      <c r="K16" s="101" t="str">
        <f t="shared" si="1"/>
        <v/>
      </c>
      <c r="L16" s="102" t="str">
        <f t="shared" si="2"/>
        <v/>
      </c>
      <c r="M16" s="103" t="str">
        <f t="shared" si="3"/>
        <v>---</v>
      </c>
      <c r="N16" s="109" t="str">
        <f t="shared" si="5"/>
        <v/>
      </c>
      <c r="O16" s="105" t="str">
        <f t="shared" si="4"/>
        <v/>
      </c>
    </row>
    <row r="17" spans="1:15" ht="16.350000000000001" customHeight="1" x14ac:dyDescent="0.2">
      <c r="A17" s="49" t="s">
        <v>49</v>
      </c>
      <c r="B17" s="59" t="s">
        <v>12</v>
      </c>
      <c r="C17" s="51" t="s">
        <v>75</v>
      </c>
      <c r="D17" s="143"/>
      <c r="E17" s="53"/>
      <c r="F17" s="53"/>
      <c r="G17" s="53"/>
      <c r="H17" s="53"/>
      <c r="I17" s="54"/>
      <c r="J17" s="100" t="str">
        <f t="shared" si="0"/>
        <v/>
      </c>
      <c r="K17" s="101" t="str">
        <f t="shared" si="1"/>
        <v/>
      </c>
      <c r="L17" s="102" t="str">
        <f t="shared" si="2"/>
        <v/>
      </c>
      <c r="M17" s="103" t="str">
        <f t="shared" si="3"/>
        <v>---</v>
      </c>
      <c r="N17" s="109" t="str">
        <f t="shared" si="5"/>
        <v/>
      </c>
      <c r="O17" s="105" t="str">
        <f t="shared" si="4"/>
        <v/>
      </c>
    </row>
    <row r="18" spans="1:15" ht="16.350000000000001" customHeight="1" x14ac:dyDescent="0.2">
      <c r="A18" s="49" t="s">
        <v>50</v>
      </c>
      <c r="B18" s="59" t="s">
        <v>13</v>
      </c>
      <c r="C18" s="51" t="s">
        <v>75</v>
      </c>
      <c r="D18" s="143"/>
      <c r="E18" s="53"/>
      <c r="F18" s="53"/>
      <c r="G18" s="53"/>
      <c r="H18" s="53"/>
      <c r="I18" s="54"/>
      <c r="J18" s="100" t="str">
        <f t="shared" si="0"/>
        <v/>
      </c>
      <c r="K18" s="101" t="str">
        <f t="shared" si="1"/>
        <v/>
      </c>
      <c r="L18" s="102" t="str">
        <f t="shared" si="2"/>
        <v/>
      </c>
      <c r="M18" s="103" t="str">
        <f t="shared" si="3"/>
        <v>---</v>
      </c>
      <c r="N18" s="109" t="str">
        <f t="shared" si="5"/>
        <v/>
      </c>
      <c r="O18" s="105" t="str">
        <f t="shared" si="4"/>
        <v/>
      </c>
    </row>
    <row r="19" spans="1:15" ht="16.350000000000001" customHeight="1" x14ac:dyDescent="0.2">
      <c r="A19" s="49" t="s">
        <v>51</v>
      </c>
      <c r="B19" s="59" t="s">
        <v>14</v>
      </c>
      <c r="C19" s="51" t="s">
        <v>75</v>
      </c>
      <c r="D19" s="143"/>
      <c r="E19" s="53"/>
      <c r="F19" s="53"/>
      <c r="G19" s="53"/>
      <c r="H19" s="53"/>
      <c r="I19" s="54"/>
      <c r="J19" s="100" t="str">
        <f t="shared" si="0"/>
        <v/>
      </c>
      <c r="K19" s="101" t="str">
        <f t="shared" si="1"/>
        <v/>
      </c>
      <c r="L19" s="102" t="str">
        <f t="shared" si="2"/>
        <v/>
      </c>
      <c r="M19" s="103" t="str">
        <f t="shared" si="3"/>
        <v>---</v>
      </c>
      <c r="N19" s="109" t="str">
        <f t="shared" si="5"/>
        <v/>
      </c>
      <c r="O19" s="105" t="str">
        <f t="shared" si="4"/>
        <v/>
      </c>
    </row>
    <row r="20" spans="1:15" ht="16.350000000000001" customHeight="1" x14ac:dyDescent="0.2">
      <c r="A20" s="49" t="s">
        <v>52</v>
      </c>
      <c r="B20" s="59" t="s">
        <v>15</v>
      </c>
      <c r="C20" s="51" t="s">
        <v>75</v>
      </c>
      <c r="D20" s="155"/>
      <c r="E20" s="61"/>
      <c r="F20" s="61"/>
      <c r="G20" s="61"/>
      <c r="H20" s="61"/>
      <c r="I20" s="62"/>
      <c r="J20" s="100" t="str">
        <f t="shared" si="0"/>
        <v/>
      </c>
      <c r="K20" s="101" t="str">
        <f t="shared" si="1"/>
        <v/>
      </c>
      <c r="L20" s="102" t="str">
        <f t="shared" si="2"/>
        <v/>
      </c>
      <c r="M20" s="103" t="str">
        <f t="shared" si="3"/>
        <v>---</v>
      </c>
      <c r="N20" s="109" t="str">
        <f t="shared" si="5"/>
        <v/>
      </c>
      <c r="O20" s="105" t="str">
        <f t="shared" si="4"/>
        <v/>
      </c>
    </row>
    <row r="21" spans="1:15" ht="16.350000000000001" customHeight="1" thickBot="1" x14ac:dyDescent="0.25">
      <c r="A21" s="63" t="s">
        <v>53</v>
      </c>
      <c r="B21" s="64" t="s">
        <v>16</v>
      </c>
      <c r="C21" s="51" t="s">
        <v>75</v>
      </c>
      <c r="D21" s="160"/>
      <c r="E21" s="66"/>
      <c r="F21" s="66"/>
      <c r="G21" s="66"/>
      <c r="H21" s="66"/>
      <c r="I21" s="67"/>
      <c r="J21" s="100" t="str">
        <f t="shared" si="0"/>
        <v/>
      </c>
      <c r="K21" s="101" t="str">
        <f t="shared" si="1"/>
        <v/>
      </c>
      <c r="L21" s="102" t="str">
        <f t="shared" si="2"/>
        <v/>
      </c>
      <c r="M21" s="103" t="str">
        <f t="shared" si="3"/>
        <v>---</v>
      </c>
      <c r="N21" s="110" t="str">
        <f t="shared" si="5"/>
        <v/>
      </c>
      <c r="O21" s="105" t="str">
        <f t="shared" si="4"/>
        <v/>
      </c>
    </row>
    <row r="22" spans="1:15" ht="16.350000000000001" customHeight="1" x14ac:dyDescent="0.2">
      <c r="A22" s="19">
        <v>3</v>
      </c>
      <c r="B22" s="68" t="s">
        <v>18</v>
      </c>
      <c r="C22" s="69"/>
      <c r="D22" s="165"/>
      <c r="E22" s="47"/>
      <c r="F22" s="47"/>
      <c r="G22" s="47"/>
      <c r="H22" s="47"/>
      <c r="I22" s="47"/>
      <c r="J22" s="44"/>
      <c r="K22" s="44"/>
      <c r="L22" s="45"/>
      <c r="M22" s="46"/>
      <c r="N22" s="47"/>
      <c r="O22" s="48"/>
    </row>
    <row r="23" spans="1:15" ht="16.350000000000001" customHeight="1" x14ac:dyDescent="0.2">
      <c r="A23" s="49" t="s">
        <v>54</v>
      </c>
      <c r="B23" s="59" t="s">
        <v>100</v>
      </c>
      <c r="C23" s="60"/>
      <c r="D23" s="155"/>
      <c r="E23" s="61"/>
      <c r="F23" s="61"/>
      <c r="G23" s="61"/>
      <c r="H23" s="61"/>
      <c r="I23" s="62"/>
      <c r="J23" s="100" t="str">
        <f>IF(SUM(D23:I23)=0,"",0.2*AVERAGE(D23:I23))</f>
        <v/>
      </c>
      <c r="K23" s="101" t="str">
        <f>IF(COUNT(D23:I23)&lt;2,"",STDEV(D23:I23))</f>
        <v/>
      </c>
      <c r="L23" s="102" t="str">
        <f>IF(SUM(D23:I23)=0,"",IF(ISTEXT(N23),"kein ZW",IF(MAX(D23:I23)&lt;(0.25*N23),"&lt; 25% ZW",IF(K23="","",IF(K23&gt;J23,"inhomogen","homogen")))))</f>
        <v/>
      </c>
      <c r="M23" s="39"/>
      <c r="N23" s="106" t="str">
        <f>IF($C$1="","6,5-9",IF($C$1=1,"5,5-13",IF($C$1=2,"5,5-13",IF($C$1=3,"4-13","5,5-13"))))</f>
        <v>5,5-13</v>
      </c>
      <c r="O23" s="40"/>
    </row>
    <row r="24" spans="1:15" ht="16.350000000000001" customHeight="1" x14ac:dyDescent="0.2">
      <c r="A24" s="49" t="s">
        <v>55</v>
      </c>
      <c r="B24" s="59" t="s">
        <v>101</v>
      </c>
      <c r="C24" s="60" t="s">
        <v>77</v>
      </c>
      <c r="D24" s="155"/>
      <c r="E24" s="61"/>
      <c r="F24" s="61"/>
      <c r="G24" s="61"/>
      <c r="H24" s="61"/>
      <c r="I24" s="62"/>
      <c r="J24" s="100" t="str">
        <f>IF(COUNTBLANK(D24:I24)&gt;5,"",IF(SUM(D24:I24)=0,"---",0.2*AVERAGE(D24:I24)))</f>
        <v/>
      </c>
      <c r="K24" s="101" t="str">
        <f>IF(COUNTBLANK(D24:I24)&gt;5,"",IF(COUNT(D24:I24)&lt;2,"---",STDEV(D24:I24)))</f>
        <v/>
      </c>
      <c r="L24" s="102" t="str">
        <f>IF(COUNTBLANK(D24:I24)&gt;5,"",IF(ISTEXT(N24),"kein ZW",IF(SUM(D24:I24)=0,"---",IF(MAX(D24:I24)&lt;(0.25*N24),"&lt; 25% ZW",IF(K24="","",IF(K24&gt;J24,"inhomogen","homogen"))))))</f>
        <v/>
      </c>
      <c r="M24" s="103" t="str">
        <f>IF(N24="","---",IF(L24="","",IF(L24="---",0.5*N24,IF(AND(D24&lt;=0.5*N24,E24&lt;=0.5*N24,F24&lt;=0.5*N24,G24&lt;=0.5*N24,H24&lt;=0.5*N24,I24&lt;=0.5*N24),0.5*N24,IF(AND(D24&lt;=N24,E24&lt;=N24,F24&lt;=N24,G24&lt;=N24,H24&lt;=N24,I24&lt;=N24),MAX(D24:I24),"manuell")))))</f>
        <v/>
      </c>
      <c r="N24" s="106">
        <f>IF($C$1="","",IF($C$1=1,50,IF($C$1=2,80,IF($C$1=3,100,50))))</f>
        <v>80</v>
      </c>
      <c r="O24" s="105" t="str">
        <f t="shared" ref="O24:O44" si="6">IF(N24="","",IF(L24="---","",IF(AND(D24&lt;=0.5*N24,E24&lt;=0.5*N24,F24&lt;=0.5*N24,G24&lt;=0.5*N24,H24&lt;=0.5*N24,I24&lt;=0.5*N24),"",IF(AND(D24&lt;=N24,E24&lt;=N24,F24&lt;=N24,G24&lt;=N24,H24&lt;=N24,I24&lt;=N24),"","X"))))</f>
        <v/>
      </c>
    </row>
    <row r="25" spans="1:15" ht="16.350000000000001" customHeight="1" x14ac:dyDescent="0.2">
      <c r="A25" s="49" t="s">
        <v>56</v>
      </c>
      <c r="B25" s="59" t="s">
        <v>21</v>
      </c>
      <c r="C25" s="60" t="s">
        <v>77</v>
      </c>
      <c r="D25" s="167"/>
      <c r="E25" s="70"/>
      <c r="F25" s="70"/>
      <c r="G25" s="70"/>
      <c r="H25" s="70"/>
      <c r="I25" s="71"/>
      <c r="J25" s="111" t="str">
        <f t="shared" ref="J25:J44" si="7">IF(COUNTBLANK(D25:I25)&gt;5,"",IF(SUM(D25:I25)=0,"---",0.2*AVERAGE(D25:I25)))</f>
        <v/>
      </c>
      <c r="K25" s="112" t="str">
        <f t="shared" ref="K25:K44" si="8">IF(COUNTBLANK(D25:I25)&gt;5,"",IF(COUNT(D25:I25)&lt;2,"---",STDEV(D25:I25)))</f>
        <v/>
      </c>
      <c r="L25" s="102" t="str">
        <f t="shared" ref="L25:L44" si="9">IF(COUNTBLANK(D25:I25)&gt;5,"",IF(ISTEXT(N25),"kein ZW",IF(SUM(D25:I25)=0,"---",IF(MAX(D25:I25)&lt;(0.25*N25),"&lt; 25% ZW",IF(K25="","",IF(K25&gt;J25,"inhomogen","homogen"))))))</f>
        <v/>
      </c>
      <c r="M25" s="103" t="str">
        <f t="shared" ref="M25:M44" si="10">IF(N25="","---",IF(L25="","",IF(L25="---",0.5*N25,IF(AND(D25&lt;=0.5*N25,E25&lt;=0.5*N25,F25&lt;=0.5*N25,G25&lt;=0.5*N25,H25&lt;=0.5*N25,I25&lt;=0.5*N25),0.5*N25,IF(AND(D25&lt;=N25,E25&lt;=N25,F25&lt;=N25,G25&lt;=N25,H25&lt;=N25,I25&lt;=N25),MAX(D25:I25),"manuell")))))</f>
        <v/>
      </c>
      <c r="N25" s="106">
        <f>IF($C$1="",0.05,IF($C$1=1,0.2,IF($C$1=2,50,IF($C$1=3,100,0.1))))</f>
        <v>50</v>
      </c>
      <c r="O25" s="105" t="str">
        <f t="shared" si="6"/>
        <v/>
      </c>
    </row>
    <row r="26" spans="1:15" ht="16.350000000000001" customHeight="1" x14ac:dyDescent="0.2">
      <c r="A26" s="49" t="s">
        <v>57</v>
      </c>
      <c r="B26" s="59" t="s">
        <v>22</v>
      </c>
      <c r="C26" s="60" t="s">
        <v>77</v>
      </c>
      <c r="D26" s="167"/>
      <c r="E26" s="70"/>
      <c r="F26" s="70"/>
      <c r="G26" s="70"/>
      <c r="H26" s="70"/>
      <c r="I26" s="71"/>
      <c r="J26" s="111" t="str">
        <f t="shared" si="7"/>
        <v/>
      </c>
      <c r="K26" s="112" t="str">
        <f t="shared" si="8"/>
        <v/>
      </c>
      <c r="L26" s="102" t="str">
        <f t="shared" si="9"/>
        <v/>
      </c>
      <c r="M26" s="103" t="str">
        <f t="shared" si="10"/>
        <v/>
      </c>
      <c r="N26" s="106">
        <f>IF($C$1="",0.01,IF($C$1=1,0.2,IF($C$1=2,0.2,IF($C$1=3,2.5,0.05))))</f>
        <v>0.2</v>
      </c>
      <c r="O26" s="105" t="str">
        <f t="shared" si="6"/>
        <v/>
      </c>
    </row>
    <row r="27" spans="1:15" ht="16.350000000000001" customHeight="1" x14ac:dyDescent="0.2">
      <c r="A27" s="49" t="s">
        <v>58</v>
      </c>
      <c r="B27" s="59" t="s">
        <v>10</v>
      </c>
      <c r="C27" s="60" t="s">
        <v>77</v>
      </c>
      <c r="D27" s="167"/>
      <c r="E27" s="70"/>
      <c r="F27" s="70"/>
      <c r="G27" s="70"/>
      <c r="H27" s="70"/>
      <c r="I27" s="71"/>
      <c r="J27" s="111" t="str">
        <f t="shared" si="7"/>
        <v/>
      </c>
      <c r="K27" s="112" t="str">
        <f t="shared" si="8"/>
        <v/>
      </c>
      <c r="L27" s="102" t="str">
        <f t="shared" si="9"/>
        <v/>
      </c>
      <c r="M27" s="103" t="str">
        <f t="shared" si="10"/>
        <v/>
      </c>
      <c r="N27" s="106">
        <f>IF($C$1="",0.02,IF($C$1=1,0.2,IF($C$1=2,1,IF($C$1=3,5,0.05))))</f>
        <v>1</v>
      </c>
      <c r="O27" s="105" t="str">
        <f t="shared" si="6"/>
        <v/>
      </c>
    </row>
    <row r="28" spans="1:15" ht="16.350000000000001" customHeight="1" x14ac:dyDescent="0.2">
      <c r="A28" s="49" t="s">
        <v>59</v>
      </c>
      <c r="B28" s="59" t="s">
        <v>11</v>
      </c>
      <c r="C28" s="60" t="s">
        <v>77</v>
      </c>
      <c r="D28" s="167"/>
      <c r="E28" s="70"/>
      <c r="F28" s="70"/>
      <c r="G28" s="70"/>
      <c r="H28" s="70"/>
      <c r="I28" s="71"/>
      <c r="J28" s="111" t="str">
        <f t="shared" si="7"/>
        <v/>
      </c>
      <c r="K28" s="112" t="str">
        <f t="shared" si="8"/>
        <v/>
      </c>
      <c r="L28" s="102" t="str">
        <f t="shared" si="9"/>
        <v/>
      </c>
      <c r="M28" s="103" t="str">
        <f t="shared" si="10"/>
        <v/>
      </c>
      <c r="N28" s="106">
        <f>IF($C$1="",0.002,IF($C$1=1,0.05,IF($C$1=2,0.1,IF($C$1=3,0.5,0.004))))</f>
        <v>0.1</v>
      </c>
      <c r="O28" s="105" t="str">
        <f t="shared" si="6"/>
        <v/>
      </c>
    </row>
    <row r="29" spans="1:15" ht="16.350000000000001" customHeight="1" x14ac:dyDescent="0.2">
      <c r="A29" s="49" t="s">
        <v>60</v>
      </c>
      <c r="B29" s="59" t="s">
        <v>13</v>
      </c>
      <c r="C29" s="60" t="s">
        <v>77</v>
      </c>
      <c r="D29" s="167"/>
      <c r="E29" s="70"/>
      <c r="F29" s="70"/>
      <c r="G29" s="70"/>
      <c r="H29" s="70"/>
      <c r="I29" s="71"/>
      <c r="J29" s="111" t="str">
        <f t="shared" si="7"/>
        <v/>
      </c>
      <c r="K29" s="112" t="str">
        <f t="shared" si="8"/>
        <v/>
      </c>
      <c r="L29" s="102" t="str">
        <f t="shared" si="9"/>
        <v/>
      </c>
      <c r="M29" s="103" t="str">
        <f t="shared" si="10"/>
        <v/>
      </c>
      <c r="N29" s="106">
        <f>IF($C$1="",0.05,IF($C$1=1,1,IF($C$1=2,5,IF($C$1=3,10,0.2))))</f>
        <v>5</v>
      </c>
      <c r="O29" s="105" t="str">
        <f t="shared" si="6"/>
        <v/>
      </c>
    </row>
    <row r="30" spans="1:15" ht="16.350000000000001" customHeight="1" x14ac:dyDescent="0.2">
      <c r="A30" s="49" t="s">
        <v>61</v>
      </c>
      <c r="B30" s="59" t="s">
        <v>14</v>
      </c>
      <c r="C30" s="60" t="s">
        <v>77</v>
      </c>
      <c r="D30" s="167"/>
      <c r="E30" s="70"/>
      <c r="F30" s="70"/>
      <c r="G30" s="70"/>
      <c r="H30" s="70"/>
      <c r="I30" s="71"/>
      <c r="J30" s="111" t="str">
        <f t="shared" si="7"/>
        <v/>
      </c>
      <c r="K30" s="112" t="str">
        <f t="shared" si="8"/>
        <v/>
      </c>
      <c r="L30" s="102" t="str">
        <f t="shared" si="9"/>
        <v/>
      </c>
      <c r="M30" s="103" t="str">
        <f t="shared" si="10"/>
        <v/>
      </c>
      <c r="N30" s="106">
        <f>IF($C$1="",0.04,IF($C$1=1,0.2,IF($C$1=2,1,IF($C$1=3,4,0.04))))</f>
        <v>1</v>
      </c>
      <c r="O30" s="113" t="str">
        <f t="shared" si="6"/>
        <v/>
      </c>
    </row>
    <row r="31" spans="1:15" ht="16.350000000000001" customHeight="1" x14ac:dyDescent="0.2">
      <c r="A31" s="49" t="s">
        <v>62</v>
      </c>
      <c r="B31" s="59" t="s">
        <v>15</v>
      </c>
      <c r="C31" s="60" t="s">
        <v>77</v>
      </c>
      <c r="D31" s="172"/>
      <c r="E31" s="73"/>
      <c r="F31" s="73"/>
      <c r="G31" s="73"/>
      <c r="H31" s="73"/>
      <c r="I31" s="74"/>
      <c r="J31" s="111" t="str">
        <f t="shared" si="7"/>
        <v/>
      </c>
      <c r="K31" s="112" t="str">
        <f t="shared" si="8"/>
        <v/>
      </c>
      <c r="L31" s="102" t="str">
        <f t="shared" si="9"/>
        <v/>
      </c>
      <c r="M31" s="103" t="str">
        <f t="shared" si="10"/>
        <v/>
      </c>
      <c r="N31" s="114">
        <f>IF($C$1="",0.0002,IF($C$1=1,0.005,IF($C$1=2,0.02,IF($C$1=3,0.2,0.001))))</f>
        <v>0.02</v>
      </c>
      <c r="O31" s="113" t="str">
        <f t="shared" si="6"/>
        <v/>
      </c>
    </row>
    <row r="32" spans="1:15" ht="16.350000000000001" customHeight="1" x14ac:dyDescent="0.2">
      <c r="A32" s="49" t="s">
        <v>63</v>
      </c>
      <c r="B32" s="59" t="s">
        <v>16</v>
      </c>
      <c r="C32" s="60" t="s">
        <v>77</v>
      </c>
      <c r="D32" s="167"/>
      <c r="E32" s="70"/>
      <c r="F32" s="70"/>
      <c r="G32" s="70"/>
      <c r="H32" s="70"/>
      <c r="I32" s="71"/>
      <c r="J32" s="111" t="str">
        <f t="shared" si="7"/>
        <v/>
      </c>
      <c r="K32" s="112" t="str">
        <f t="shared" si="8"/>
        <v/>
      </c>
      <c r="L32" s="102" t="str">
        <f t="shared" si="9"/>
        <v/>
      </c>
      <c r="M32" s="103" t="str">
        <f t="shared" si="10"/>
        <v/>
      </c>
      <c r="N32" s="106">
        <f>IF($C$1="",0.1,IF($C$1=1,2,IF($C$1=2,5,IF($C$1=3,20,0.4))))</f>
        <v>5</v>
      </c>
      <c r="O32" s="113" t="str">
        <f t="shared" si="6"/>
        <v/>
      </c>
    </row>
    <row r="33" spans="1:15" ht="16.350000000000001" customHeight="1" x14ac:dyDescent="0.2">
      <c r="A33" s="49" t="s">
        <v>64</v>
      </c>
      <c r="B33" s="59" t="s">
        <v>31</v>
      </c>
      <c r="C33" s="60" t="s">
        <v>77</v>
      </c>
      <c r="D33" s="155"/>
      <c r="E33" s="61"/>
      <c r="F33" s="61"/>
      <c r="G33" s="61"/>
      <c r="H33" s="61"/>
      <c r="I33" s="62"/>
      <c r="J33" s="100" t="str">
        <f t="shared" si="7"/>
        <v/>
      </c>
      <c r="K33" s="101" t="str">
        <f t="shared" si="8"/>
        <v/>
      </c>
      <c r="L33" s="102" t="str">
        <f t="shared" si="9"/>
        <v/>
      </c>
      <c r="M33" s="103" t="str">
        <f t="shared" si="10"/>
        <v/>
      </c>
      <c r="N33" s="106">
        <f>IF($C$1="",10,IF($C$1=1,1500,IF($C$1=2,1500,IF($C$1=3,2500,80))))</f>
        <v>1500</v>
      </c>
      <c r="O33" s="113" t="str">
        <f t="shared" si="6"/>
        <v/>
      </c>
    </row>
    <row r="34" spans="1:15" ht="16.350000000000001" customHeight="1" x14ac:dyDescent="0.2">
      <c r="A34" s="49" t="s">
        <v>65</v>
      </c>
      <c r="B34" s="59" t="s">
        <v>32</v>
      </c>
      <c r="C34" s="60" t="s">
        <v>77</v>
      </c>
      <c r="D34" s="52"/>
      <c r="E34" s="53"/>
      <c r="F34" s="53"/>
      <c r="G34" s="53"/>
      <c r="H34" s="53"/>
      <c r="I34" s="54"/>
      <c r="J34" s="100" t="str">
        <f t="shared" si="7"/>
        <v/>
      </c>
      <c r="K34" s="101" t="str">
        <f t="shared" si="8"/>
        <v/>
      </c>
      <c r="L34" s="102" t="str">
        <f t="shared" si="9"/>
        <v/>
      </c>
      <c r="M34" s="103" t="str">
        <f t="shared" si="10"/>
        <v/>
      </c>
      <c r="N34" s="106">
        <f>IF($C$1="",50,IF($C$1=1,2000,IF($C$1=2,2000,IF($C$1=3,5000,100))))</f>
        <v>2000</v>
      </c>
      <c r="O34" s="113" t="str">
        <f t="shared" si="6"/>
        <v/>
      </c>
    </row>
    <row r="35" spans="1:15" ht="25.5" customHeight="1" x14ac:dyDescent="0.2">
      <c r="A35" s="49" t="s">
        <v>66</v>
      </c>
      <c r="B35" s="59" t="s">
        <v>130</v>
      </c>
      <c r="C35" s="60" t="s">
        <v>77</v>
      </c>
      <c r="D35" s="252"/>
      <c r="E35" s="70"/>
      <c r="F35" s="70"/>
      <c r="G35" s="70"/>
      <c r="H35" s="70"/>
      <c r="I35" s="71"/>
      <c r="J35" s="111" t="str">
        <f t="shared" si="7"/>
        <v/>
      </c>
      <c r="K35" s="112" t="str">
        <f t="shared" si="8"/>
        <v/>
      </c>
      <c r="L35" s="102" t="str">
        <f t="shared" si="9"/>
        <v/>
      </c>
      <c r="M35" s="103" t="str">
        <f t="shared" si="10"/>
        <v/>
      </c>
      <c r="N35" s="106">
        <f>IF($C$1="",0.01,IF($C$1=1,0.1,IF($C$1=2,0.5,IF($C$1=3,1,0.01))))</f>
        <v>0.5</v>
      </c>
      <c r="O35" s="113" t="str">
        <f t="shared" si="6"/>
        <v/>
      </c>
    </row>
    <row r="36" spans="1:15" ht="16.350000000000001" customHeight="1" x14ac:dyDescent="0.2">
      <c r="A36" s="49" t="s">
        <v>67</v>
      </c>
      <c r="B36" s="59" t="s">
        <v>23</v>
      </c>
      <c r="C36" s="60" t="s">
        <v>77</v>
      </c>
      <c r="D36" s="252"/>
      <c r="E36" s="70"/>
      <c r="F36" s="70"/>
      <c r="G36" s="70"/>
      <c r="H36" s="70"/>
      <c r="I36" s="71"/>
      <c r="J36" s="111" t="str">
        <f t="shared" si="7"/>
        <v/>
      </c>
      <c r="K36" s="112" t="str">
        <f t="shared" si="8"/>
        <v/>
      </c>
      <c r="L36" s="102" t="str">
        <f t="shared" si="9"/>
        <v/>
      </c>
      <c r="M36" s="103" t="str">
        <f t="shared" si="10"/>
        <v/>
      </c>
      <c r="N36" s="106">
        <f>IF($C$1="","",IF($C$1=1,5,IF($C$1=2,15,IF($C$1=3,50,1))))</f>
        <v>15</v>
      </c>
      <c r="O36" s="113" t="str">
        <f t="shared" si="6"/>
        <v/>
      </c>
    </row>
    <row r="37" spans="1:15" ht="16.350000000000001" customHeight="1" x14ac:dyDescent="0.2">
      <c r="A37" s="49" t="s">
        <v>68</v>
      </c>
      <c r="B37" s="59" t="s">
        <v>24</v>
      </c>
      <c r="C37" s="60" t="s">
        <v>77</v>
      </c>
      <c r="D37" s="252"/>
      <c r="E37" s="70"/>
      <c r="F37" s="70"/>
      <c r="G37" s="70"/>
      <c r="H37" s="70"/>
      <c r="I37" s="71"/>
      <c r="J37" s="111" t="str">
        <f t="shared" si="7"/>
        <v/>
      </c>
      <c r="K37" s="112" t="str">
        <f t="shared" si="8"/>
        <v/>
      </c>
      <c r="L37" s="102" t="str">
        <f t="shared" si="9"/>
        <v/>
      </c>
      <c r="M37" s="103" t="str">
        <f t="shared" si="10"/>
        <v/>
      </c>
      <c r="N37" s="106">
        <f>IF($C$1="","",IF($C$1=1,5,IF($C$1=2,10,IF($C$1=3,30,2))))</f>
        <v>10</v>
      </c>
      <c r="O37" s="113" t="str">
        <f t="shared" si="6"/>
        <v/>
      </c>
    </row>
    <row r="38" spans="1:15" ht="16.350000000000001" customHeight="1" x14ac:dyDescent="0.2">
      <c r="A38" s="49" t="s">
        <v>69</v>
      </c>
      <c r="B38" s="59" t="s">
        <v>25</v>
      </c>
      <c r="C38" s="60" t="s">
        <v>77</v>
      </c>
      <c r="D38" s="252"/>
      <c r="E38" s="70"/>
      <c r="F38" s="70"/>
      <c r="G38" s="70"/>
      <c r="H38" s="70"/>
      <c r="I38" s="71"/>
      <c r="J38" s="111" t="str">
        <f t="shared" si="7"/>
        <v/>
      </c>
      <c r="K38" s="112" t="str">
        <f t="shared" si="8"/>
        <v/>
      </c>
      <c r="L38" s="102" t="str">
        <f t="shared" si="9"/>
        <v/>
      </c>
      <c r="M38" s="103" t="str">
        <f t="shared" si="10"/>
        <v/>
      </c>
      <c r="N38" s="106">
        <f>IF($C$1="","",IF($C$1=1,0.3,IF($C$1=2,1,IF($C$1=3,7,0.05))))</f>
        <v>1</v>
      </c>
      <c r="O38" s="113" t="str">
        <f t="shared" si="6"/>
        <v/>
      </c>
    </row>
    <row r="39" spans="1:15" ht="16.350000000000001" customHeight="1" x14ac:dyDescent="0.2">
      <c r="A39" s="49" t="s">
        <v>70</v>
      </c>
      <c r="B39" s="59" t="s">
        <v>26</v>
      </c>
      <c r="C39" s="60" t="s">
        <v>77</v>
      </c>
      <c r="D39" s="252"/>
      <c r="E39" s="70"/>
      <c r="F39" s="70"/>
      <c r="G39" s="70"/>
      <c r="H39" s="70"/>
      <c r="I39" s="71"/>
      <c r="J39" s="111" t="str">
        <f t="shared" si="7"/>
        <v/>
      </c>
      <c r="K39" s="112" t="str">
        <f t="shared" si="8"/>
        <v/>
      </c>
      <c r="L39" s="102" t="str">
        <f t="shared" si="9"/>
        <v/>
      </c>
      <c r="M39" s="103" t="str">
        <f t="shared" si="10"/>
        <v/>
      </c>
      <c r="N39" s="106">
        <f>IF($C$1="","",IF($C$1=1,0.3,IF($C$1=2,1,IF($C$1=3,3,0.05))))</f>
        <v>1</v>
      </c>
      <c r="O39" s="113" t="str">
        <f t="shared" si="6"/>
        <v/>
      </c>
    </row>
    <row r="40" spans="1:15" ht="16.350000000000001" customHeight="1" x14ac:dyDescent="0.2">
      <c r="A40" s="49" t="s">
        <v>102</v>
      </c>
      <c r="B40" s="59" t="s">
        <v>29</v>
      </c>
      <c r="C40" s="60" t="s">
        <v>77</v>
      </c>
      <c r="D40" s="252"/>
      <c r="E40" s="70"/>
      <c r="F40" s="70"/>
      <c r="G40" s="70"/>
      <c r="H40" s="70"/>
      <c r="I40" s="71"/>
      <c r="J40" s="111" t="str">
        <f t="shared" si="7"/>
        <v/>
      </c>
      <c r="K40" s="112" t="str">
        <f t="shared" si="8"/>
        <v/>
      </c>
      <c r="L40" s="102" t="str">
        <f t="shared" si="9"/>
        <v/>
      </c>
      <c r="M40" s="103" t="str">
        <f t="shared" si="10"/>
        <v/>
      </c>
      <c r="N40" s="106">
        <f>IF($C$1="","",IF($C$1=1,0.03,IF($C$1=2,0.07,IF($C$1=3,0.5,0.006))))</f>
        <v>7.0000000000000007E-2</v>
      </c>
      <c r="O40" s="113" t="str">
        <f t="shared" si="6"/>
        <v/>
      </c>
    </row>
    <row r="41" spans="1:15" ht="16.350000000000001" customHeight="1" x14ac:dyDescent="0.2">
      <c r="A41" s="49" t="s">
        <v>103</v>
      </c>
      <c r="B41" s="59" t="s">
        <v>131</v>
      </c>
      <c r="C41" s="60" t="s">
        <v>77</v>
      </c>
      <c r="D41" s="252"/>
      <c r="E41" s="70"/>
      <c r="F41" s="70"/>
      <c r="G41" s="70"/>
      <c r="H41" s="70"/>
      <c r="I41" s="71"/>
      <c r="J41" s="100" t="str">
        <f t="shared" si="7"/>
        <v/>
      </c>
      <c r="K41" s="101" t="str">
        <f t="shared" si="8"/>
        <v/>
      </c>
      <c r="L41" s="102" t="str">
        <f t="shared" si="9"/>
        <v/>
      </c>
      <c r="M41" s="103" t="str">
        <f t="shared" si="10"/>
        <v/>
      </c>
      <c r="N41" s="106">
        <f>IF($C$1="","",IF($C$1=1,0.12,IF($C$1=2,0.15,IF($C$1=3,1,0.1))))</f>
        <v>0.15</v>
      </c>
      <c r="O41" s="113" t="str">
        <f t="shared" si="6"/>
        <v/>
      </c>
    </row>
    <row r="42" spans="1:15" ht="16.350000000000001" customHeight="1" x14ac:dyDescent="0.2">
      <c r="A42" s="49" t="s">
        <v>71</v>
      </c>
      <c r="B42" s="59" t="s">
        <v>27</v>
      </c>
      <c r="C42" s="60" t="s">
        <v>77</v>
      </c>
      <c r="D42" s="252"/>
      <c r="E42" s="70"/>
      <c r="F42" s="70"/>
      <c r="G42" s="70"/>
      <c r="H42" s="70"/>
      <c r="I42" s="71"/>
      <c r="J42" s="111" t="str">
        <f t="shared" si="7"/>
        <v/>
      </c>
      <c r="K42" s="112" t="str">
        <f t="shared" si="8"/>
        <v/>
      </c>
      <c r="L42" s="102" t="str">
        <f t="shared" si="9"/>
        <v/>
      </c>
      <c r="M42" s="103" t="str">
        <f t="shared" si="10"/>
        <v/>
      </c>
      <c r="N42" s="106">
        <f>IF($C$1="","",IF($C$1=1,0.03,IF($C$1=2,0.05,IF($C$1=3,0.7,0.01))))</f>
        <v>0.05</v>
      </c>
      <c r="O42" s="113" t="str">
        <f t="shared" si="6"/>
        <v/>
      </c>
    </row>
    <row r="43" spans="1:15" ht="32.25" customHeight="1" x14ac:dyDescent="0.2">
      <c r="A43" s="49" t="s">
        <v>72</v>
      </c>
      <c r="B43" s="59" t="s">
        <v>30</v>
      </c>
      <c r="C43" s="60" t="s">
        <v>77</v>
      </c>
      <c r="D43" s="52"/>
      <c r="E43" s="53"/>
      <c r="F43" s="53"/>
      <c r="G43" s="53"/>
      <c r="H43" s="53"/>
      <c r="I43" s="54"/>
      <c r="J43" s="100" t="str">
        <f t="shared" si="7"/>
        <v/>
      </c>
      <c r="K43" s="101" t="str">
        <f t="shared" si="8"/>
        <v/>
      </c>
      <c r="L43" s="102" t="str">
        <f t="shared" si="9"/>
        <v/>
      </c>
      <c r="M43" s="103" t="str">
        <f t="shared" si="10"/>
        <v/>
      </c>
      <c r="N43" s="106">
        <f>IF($C$1="",400,IF($C$1=1,3000,IF($C$1=2,6000,IF($C$1=3,10000,400))))</f>
        <v>6000</v>
      </c>
      <c r="O43" s="113" t="str">
        <f t="shared" si="6"/>
        <v/>
      </c>
    </row>
    <row r="44" spans="1:15" ht="18.75" customHeight="1" thickBot="1" x14ac:dyDescent="0.25">
      <c r="A44" s="63" t="s">
        <v>73</v>
      </c>
      <c r="B44" s="64" t="s">
        <v>28</v>
      </c>
      <c r="C44" s="75" t="s">
        <v>78</v>
      </c>
      <c r="D44" s="65"/>
      <c r="E44" s="66"/>
      <c r="F44" s="66"/>
      <c r="G44" s="66"/>
      <c r="H44" s="66"/>
      <c r="I44" s="67"/>
      <c r="J44" s="100" t="str">
        <f t="shared" si="7"/>
        <v/>
      </c>
      <c r="K44" s="101" t="str">
        <f t="shared" si="8"/>
        <v/>
      </c>
      <c r="L44" s="102" t="str">
        <f t="shared" si="9"/>
        <v/>
      </c>
      <c r="M44" s="103" t="str">
        <f t="shared" si="10"/>
        <v>---</v>
      </c>
      <c r="N44" s="110" t="str">
        <f>IF($C$1="","",IF($C$1=1,"",IF($C$1=2,"",IF($C$1=3,"",""))))</f>
        <v/>
      </c>
      <c r="O44" s="113" t="str">
        <f t="shared" si="6"/>
        <v/>
      </c>
    </row>
    <row r="45" spans="1:15" ht="20.25" customHeight="1" x14ac:dyDescent="0.2">
      <c r="A45" s="76">
        <v>4</v>
      </c>
      <c r="B45" s="77" t="s">
        <v>79</v>
      </c>
      <c r="C45" s="78"/>
      <c r="D45" s="79"/>
      <c r="E45" s="79"/>
      <c r="F45" s="79"/>
      <c r="G45" s="79"/>
      <c r="H45" s="79"/>
      <c r="I45" s="79"/>
      <c r="J45" s="80"/>
      <c r="K45" s="80"/>
      <c r="L45" s="81"/>
      <c r="M45" s="46"/>
      <c r="N45" s="47"/>
      <c r="O45" s="82"/>
    </row>
    <row r="46" spans="1:15" ht="16.350000000000001" customHeight="1" x14ac:dyDescent="0.2">
      <c r="A46" s="49" t="s">
        <v>88</v>
      </c>
      <c r="B46" s="59" t="s">
        <v>132</v>
      </c>
      <c r="C46" s="60" t="s">
        <v>87</v>
      </c>
      <c r="D46" s="52"/>
      <c r="E46" s="53"/>
      <c r="F46" s="53"/>
      <c r="G46" s="53"/>
      <c r="H46" s="53"/>
      <c r="I46" s="54"/>
      <c r="J46" s="100" t="str">
        <f>IF(COUNTBLANK(D46:I46)&gt;5,"",IF(SUM(D46:I46)=0,"---",0.2*AVERAGE(D46:I46)))</f>
        <v/>
      </c>
      <c r="K46" s="101" t="str">
        <f>IF(COUNTBLANK(D46:I46)&gt;5,"",IF(COUNT(D46:I46)&lt;2,"---",STDEV(D46:I46)))</f>
        <v/>
      </c>
      <c r="L46" s="102" t="str">
        <f>IF(COUNTBLANK(D46:I46)&gt;5,"",IF(ISTEXT(N46),"kein ZW",IF(SUM(D46:I46)=0,"---",IF(MAX(D46:I46)&lt;(0.25*N46),"&lt; 25% ZW",IF(K46="","",IF(K46&gt;J46,"inhomogen","homogen"))))))</f>
        <v/>
      </c>
      <c r="M46" s="103" t="str">
        <f>IF(N46="","---",IF(L46="","",IF(L46="---",0.5*N46,IF(AND(D46&lt;=0.5*N46,E46&lt;=0.5*N46,F46&lt;=0.5*N46,G46&lt;=0.5*N46,H46&lt;=0.5*N46,I46&lt;=0.5*N46),0.5*N46,IF(AND(D46&lt;=N46,E46&lt;=N46,F46&lt;=N46,G46&lt;=N46,H46&lt;=N46,I46&lt;=N46),MAX(D46:I46),"manuell")))))</f>
        <v/>
      </c>
      <c r="N46" s="55">
        <v>6000</v>
      </c>
      <c r="O46" s="113" t="str">
        <f t="shared" ref="O46:O53" si="11">IF(N46="","",IF(L46="---","",IF(AND(D46&lt;=0.5*N46,E46&lt;=0.5*N46,F46&lt;=0.5*N46,G46&lt;=0.5*N46,H46&lt;=0.5*N46,I46&lt;=0.5*N46),"",IF(AND(D46&lt;=N46,E46&lt;=N46,F46&lt;=N46,G46&lt;=N46,H46&lt;=N46,I46&lt;=N46),"","X"))))</f>
        <v/>
      </c>
    </row>
    <row r="47" spans="1:15" ht="21" customHeight="1" x14ac:dyDescent="0.2">
      <c r="A47" s="49" t="s">
        <v>89</v>
      </c>
      <c r="B47" s="59" t="s">
        <v>86</v>
      </c>
      <c r="C47" s="60" t="s">
        <v>133</v>
      </c>
      <c r="D47" s="52"/>
      <c r="E47" s="53"/>
      <c r="F47" s="53"/>
      <c r="G47" s="53"/>
      <c r="H47" s="53"/>
      <c r="I47" s="54"/>
      <c r="J47" s="100" t="str">
        <f t="shared" ref="J47:J53" si="12">IF(COUNTBLANK(D47:I47)&gt;5,"",IF(SUM(D47:I47)=0,"---",0.2*AVERAGE(D47:I47)))</f>
        <v/>
      </c>
      <c r="K47" s="101" t="str">
        <f t="shared" ref="K47:K53" si="13">IF(COUNTBLANK(D47:I47)&gt;5,"",IF(COUNT(D47:I47)&lt;2,"---",STDEV(D47:I47)))</f>
        <v/>
      </c>
      <c r="L47" s="102" t="str">
        <f t="shared" ref="L47:L53" si="14">IF(COUNTBLANK(D47:I47)&gt;5,"",IF(ISTEXT(N47),"kein ZW",IF(SUM(D47:I47)=0,"---",IF(MAX(D47:I47)&lt;(0.25*N47),"&lt; 25% ZW",IF(K47="","",IF(K47&gt;J47,"inhomogen","homogen"))))))</f>
        <v/>
      </c>
      <c r="M47" s="103" t="str">
        <f t="shared" ref="M47:M53" si="15">IF(N47="","---",IF(L47="","",IF(L47="---",0.5*N47,IF(AND(D47&lt;=0.5*N47,E47&lt;=0.5*N47,F47&lt;=0.5*N47,G47&lt;=0.5*N47,H47&lt;=0.5*N47,I47&lt;=0.5*N47),0.5*N47,IF(AND(D47&lt;=N47,E47&lt;=N47,F47&lt;=N47,G47&lt;=N47,H47&lt;=N47,I47&lt;=N47),MAX(D47:I47),"manuell")))))</f>
        <v/>
      </c>
      <c r="N47" s="55">
        <v>5</v>
      </c>
      <c r="O47" s="113" t="str">
        <f t="shared" si="11"/>
        <v/>
      </c>
    </row>
    <row r="48" spans="1:15" ht="16.350000000000001" customHeight="1" x14ac:dyDescent="0.2">
      <c r="A48" s="49" t="s">
        <v>90</v>
      </c>
      <c r="B48" s="59" t="s">
        <v>85</v>
      </c>
      <c r="C48" s="60" t="s">
        <v>75</v>
      </c>
      <c r="D48" s="52"/>
      <c r="E48" s="53"/>
      <c r="F48" s="53"/>
      <c r="G48" s="53"/>
      <c r="H48" s="53"/>
      <c r="I48" s="54"/>
      <c r="J48" s="100" t="str">
        <f t="shared" si="12"/>
        <v/>
      </c>
      <c r="K48" s="101" t="str">
        <f t="shared" si="13"/>
        <v/>
      </c>
      <c r="L48" s="102" t="str">
        <f t="shared" si="14"/>
        <v/>
      </c>
      <c r="M48" s="103" t="str">
        <f t="shared" si="15"/>
        <v/>
      </c>
      <c r="N48" s="106">
        <f>IF($C$1="","",IF($C$1=1,5,IF($C$1=2,5,IF($C$1=3,5,2))))</f>
        <v>5</v>
      </c>
      <c r="O48" s="113" t="str">
        <f t="shared" si="11"/>
        <v/>
      </c>
    </row>
    <row r="49" spans="1:15" ht="16.350000000000001" customHeight="1" x14ac:dyDescent="0.2">
      <c r="A49" s="49" t="s">
        <v>91</v>
      </c>
      <c r="B49" s="83" t="s">
        <v>80</v>
      </c>
      <c r="C49" s="84" t="s">
        <v>81</v>
      </c>
      <c r="D49" s="52"/>
      <c r="E49" s="53"/>
      <c r="F49" s="53"/>
      <c r="G49" s="53"/>
      <c r="H49" s="53"/>
      <c r="I49" s="54"/>
      <c r="J49" s="100" t="str">
        <f t="shared" si="12"/>
        <v/>
      </c>
      <c r="K49" s="101" t="str">
        <f t="shared" si="13"/>
        <v/>
      </c>
      <c r="L49" s="102" t="str">
        <f t="shared" si="14"/>
        <v/>
      </c>
      <c r="M49" s="103" t="str">
        <f t="shared" si="15"/>
        <v/>
      </c>
      <c r="N49" s="106">
        <f>IF($C$1="","",IF($C$1=1,1000,IF($C$1=2,2000,IF($C$1=3,2000,200))))</f>
        <v>2000</v>
      </c>
      <c r="O49" s="113" t="str">
        <f t="shared" si="11"/>
        <v/>
      </c>
    </row>
    <row r="50" spans="1:15" ht="16.350000000000001" customHeight="1" x14ac:dyDescent="0.2">
      <c r="A50" s="49" t="s">
        <v>92</v>
      </c>
      <c r="B50" s="83" t="s">
        <v>106</v>
      </c>
      <c r="C50" s="84" t="s">
        <v>107</v>
      </c>
      <c r="D50" s="52"/>
      <c r="E50" s="53"/>
      <c r="F50" s="53"/>
      <c r="G50" s="53"/>
      <c r="H50" s="53"/>
      <c r="I50" s="54"/>
      <c r="J50" s="100" t="str">
        <f t="shared" si="12"/>
        <v/>
      </c>
      <c r="K50" s="101" t="str">
        <f t="shared" si="13"/>
        <v/>
      </c>
      <c r="L50" s="102" t="str">
        <f t="shared" si="14"/>
        <v/>
      </c>
      <c r="M50" s="103" t="str">
        <f t="shared" si="15"/>
        <v/>
      </c>
      <c r="N50" s="106">
        <f>IF($C$1="","",IF($C$1=1,"",IF($C$1=2,20,IF($C$1=3,20,""))))</f>
        <v>20</v>
      </c>
      <c r="O50" s="113" t="str">
        <f t="shared" si="11"/>
        <v/>
      </c>
    </row>
    <row r="51" spans="1:15" ht="16.350000000000001" customHeight="1" x14ac:dyDescent="0.2">
      <c r="A51" s="49" t="s">
        <v>93</v>
      </c>
      <c r="B51" s="83" t="s">
        <v>82</v>
      </c>
      <c r="C51" s="60" t="s">
        <v>83</v>
      </c>
      <c r="D51" s="52"/>
      <c r="E51" s="53"/>
      <c r="F51" s="53"/>
      <c r="G51" s="53"/>
      <c r="H51" s="53"/>
      <c r="I51" s="54"/>
      <c r="J51" s="100" t="str">
        <f t="shared" si="12"/>
        <v/>
      </c>
      <c r="K51" s="101" t="str">
        <f t="shared" si="13"/>
        <v/>
      </c>
      <c r="L51" s="102" t="str">
        <f t="shared" si="14"/>
        <v/>
      </c>
      <c r="M51" s="103" t="str">
        <f t="shared" si="15"/>
        <v/>
      </c>
      <c r="N51" s="106">
        <f>IF($C$1="","",IF($C$1=1,25,IF($C$1=2,50,IF($C$1=3,50,2))))</f>
        <v>50</v>
      </c>
      <c r="O51" s="113" t="str">
        <f t="shared" si="11"/>
        <v/>
      </c>
    </row>
    <row r="52" spans="1:15" ht="15.75" customHeight="1" x14ac:dyDescent="0.2">
      <c r="A52" s="49" t="s">
        <v>94</v>
      </c>
      <c r="B52" s="85" t="s">
        <v>84</v>
      </c>
      <c r="C52" s="60" t="s">
        <v>83</v>
      </c>
      <c r="D52" s="52"/>
      <c r="E52" s="53"/>
      <c r="F52" s="53"/>
      <c r="G52" s="53"/>
      <c r="H52" s="53"/>
      <c r="I52" s="54"/>
      <c r="J52" s="100" t="str">
        <f t="shared" si="12"/>
        <v/>
      </c>
      <c r="K52" s="101" t="str">
        <f t="shared" si="13"/>
        <v/>
      </c>
      <c r="L52" s="102" t="str">
        <f t="shared" si="14"/>
        <v/>
      </c>
      <c r="M52" s="103" t="str">
        <f t="shared" si="15"/>
        <v/>
      </c>
      <c r="N52" s="106">
        <f>IF($C$1="","",IF($C$1=1,1,IF($C$1=2,5,IF($C$1=3,5,0.2))))</f>
        <v>5</v>
      </c>
      <c r="O52" s="113" t="str">
        <f t="shared" si="11"/>
        <v/>
      </c>
    </row>
    <row r="53" spans="1:15" ht="28.5" customHeight="1" thickBot="1" x14ac:dyDescent="0.25">
      <c r="A53" s="63" t="s">
        <v>105</v>
      </c>
      <c r="B53" s="86" t="s">
        <v>134</v>
      </c>
      <c r="C53" s="75" t="s">
        <v>83</v>
      </c>
      <c r="D53" s="65"/>
      <c r="E53" s="66"/>
      <c r="F53" s="66"/>
      <c r="G53" s="66"/>
      <c r="H53" s="66"/>
      <c r="I53" s="67"/>
      <c r="J53" s="100" t="str">
        <f t="shared" si="12"/>
        <v/>
      </c>
      <c r="K53" s="101" t="str">
        <f t="shared" si="13"/>
        <v/>
      </c>
      <c r="L53" s="102" t="str">
        <f t="shared" si="14"/>
        <v/>
      </c>
      <c r="M53" s="103" t="str">
        <f t="shared" si="15"/>
        <v/>
      </c>
      <c r="N53" s="104">
        <f>IF($C$1="","",IF($C$1=1,5,IF($C$1=2,20,IF($C$1=3,20,1))))</f>
        <v>20</v>
      </c>
      <c r="O53" s="113" t="str">
        <f t="shared" si="11"/>
        <v/>
      </c>
    </row>
    <row r="54" spans="1:15" ht="44.25" customHeight="1" x14ac:dyDescent="0.2">
      <c r="A54" s="11"/>
      <c r="F54" s="88"/>
      <c r="G54" s="88"/>
      <c r="H54" s="88"/>
      <c r="I54" s="88"/>
      <c r="J54" s="88"/>
      <c r="K54" s="88"/>
      <c r="L54" s="88"/>
      <c r="M54" s="89"/>
      <c r="N54" s="89"/>
    </row>
    <row r="55" spans="1:15" ht="26.25" customHeight="1" x14ac:dyDescent="0.2">
      <c r="A55" s="11"/>
      <c r="D55" s="90"/>
      <c r="E55" s="90"/>
      <c r="F55" s="91" t="s">
        <v>97</v>
      </c>
      <c r="G55" s="91"/>
      <c r="H55" s="91"/>
      <c r="I55" s="91"/>
      <c r="J55" s="91"/>
      <c r="K55" s="91"/>
      <c r="L55" s="92"/>
      <c r="M55" s="93"/>
      <c r="N55" s="93"/>
    </row>
  </sheetData>
  <sheetProtection sheet="1" objects="1" scenarios="1" selectLockedCells="1"/>
  <mergeCells count="15">
    <mergeCell ref="M1:N2"/>
    <mergeCell ref="O1:O3"/>
    <mergeCell ref="I2:I3"/>
    <mergeCell ref="J2:J3"/>
    <mergeCell ref="K2:K3"/>
    <mergeCell ref="L2:L3"/>
    <mergeCell ref="A1:B1"/>
    <mergeCell ref="B2:C2"/>
    <mergeCell ref="J1:L1"/>
    <mergeCell ref="D1:I1"/>
    <mergeCell ref="D2:D3"/>
    <mergeCell ref="E2:E3"/>
    <mergeCell ref="F2:F3"/>
    <mergeCell ref="G2:G3"/>
    <mergeCell ref="H2:H3"/>
  </mergeCells>
  <phoneticPr fontId="0" type="noConversion"/>
  <pageMargins left="0.39370078740157483" right="0.19685039370078741" top="1.1417322834645669" bottom="0.31496062992125984" header="0.51181102362204722" footer="0.19685039370078741"/>
  <pageSetup paperSize="9" scale="69" orientation="portrait" r:id="rId1"/>
  <headerFooter alignWithMargins="0">
    <oddHeader>&amp;L&amp;"Arial,Fett"&amp;16&amp;UMuster&amp;14&amp;U zur Bestimmung der Werte zur grundlegenden 
Charakterisierung (WgC) &amp;12aus den Analyseberichten (Auswertungsübersicht)&amp;R&amp;G</oddHeader>
    <oddFooter>&amp;R&amp;8DET S B 12.00 / 07/2016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tabSelected="1" view="pageLayout" topLeftCell="A19" zoomScaleNormal="90" workbookViewId="0">
      <selection activeCell="A44" sqref="A44"/>
    </sheetView>
  </sheetViews>
  <sheetFormatPr baseColWidth="10" defaultRowHeight="12.75" x14ac:dyDescent="0.2"/>
  <cols>
    <col min="1" max="1" width="6" customWidth="1"/>
    <col min="2" max="2" width="29.85546875" customWidth="1"/>
    <col min="3" max="3" width="10.7109375" style="1" customWidth="1"/>
    <col min="4" max="23" width="6.85546875" style="1" customWidth="1"/>
    <col min="24" max="24" width="8.85546875" style="1" customWidth="1"/>
    <col min="25" max="25" width="8.28515625" style="1" customWidth="1"/>
    <col min="26" max="26" width="11.5703125" style="1" customWidth="1"/>
    <col min="27" max="27" width="9.7109375" customWidth="1"/>
    <col min="28" max="28" width="7.85546875" customWidth="1"/>
    <col min="29" max="29" width="4.28515625" style="1" customWidth="1"/>
  </cols>
  <sheetData>
    <row r="1" spans="1:29" ht="45" customHeight="1" thickBot="1" x14ac:dyDescent="0.25">
      <c r="A1" s="203" t="s">
        <v>138</v>
      </c>
      <c r="B1" s="232"/>
      <c r="C1" s="10">
        <v>2</v>
      </c>
      <c r="D1" s="209" t="s">
        <v>3</v>
      </c>
      <c r="E1" s="210"/>
      <c r="F1" s="210"/>
      <c r="G1" s="210"/>
      <c r="H1" s="210"/>
      <c r="I1" s="210"/>
      <c r="J1" s="233"/>
      <c r="K1" s="233"/>
      <c r="L1" s="233"/>
      <c r="M1" s="233"/>
      <c r="N1" s="233"/>
      <c r="O1" s="233"/>
      <c r="P1" s="233"/>
      <c r="Q1" s="233"/>
      <c r="R1" s="233"/>
      <c r="S1" s="233"/>
      <c r="T1" s="233"/>
      <c r="U1" s="233"/>
      <c r="V1" s="233"/>
      <c r="W1" s="234"/>
      <c r="X1" s="206" t="s">
        <v>37</v>
      </c>
      <c r="Y1" s="207"/>
      <c r="Z1" s="208"/>
      <c r="AA1" s="216" t="s">
        <v>99</v>
      </c>
      <c r="AB1" s="217"/>
      <c r="AC1" s="235" t="s">
        <v>104</v>
      </c>
    </row>
    <row r="2" spans="1:29" ht="11.25" customHeight="1" thickBot="1" x14ac:dyDescent="0.25">
      <c r="A2" s="115"/>
      <c r="B2" s="237" t="s">
        <v>2</v>
      </c>
      <c r="C2" s="237"/>
      <c r="D2" s="243">
        <v>6052</v>
      </c>
      <c r="E2" s="230">
        <v>6053</v>
      </c>
      <c r="F2" s="230" t="s">
        <v>108</v>
      </c>
      <c r="G2" s="230" t="s">
        <v>109</v>
      </c>
      <c r="H2" s="230" t="s">
        <v>110</v>
      </c>
      <c r="I2" s="230" t="s">
        <v>111</v>
      </c>
      <c r="J2" s="230" t="s">
        <v>112</v>
      </c>
      <c r="K2" s="230" t="s">
        <v>113</v>
      </c>
      <c r="L2" s="230" t="s">
        <v>114</v>
      </c>
      <c r="M2" s="230" t="s">
        <v>115</v>
      </c>
      <c r="N2" s="230" t="s">
        <v>116</v>
      </c>
      <c r="O2" s="230" t="s">
        <v>117</v>
      </c>
      <c r="P2" s="230" t="s">
        <v>118</v>
      </c>
      <c r="Q2" s="230" t="s">
        <v>119</v>
      </c>
      <c r="R2" s="230" t="s">
        <v>120</v>
      </c>
      <c r="S2" s="230" t="s">
        <v>121</v>
      </c>
      <c r="T2" s="230" t="s">
        <v>122</v>
      </c>
      <c r="U2" s="230" t="s">
        <v>123</v>
      </c>
      <c r="V2" s="230" t="s">
        <v>124</v>
      </c>
      <c r="W2" s="248" t="s">
        <v>125</v>
      </c>
      <c r="X2" s="245" t="s">
        <v>95</v>
      </c>
      <c r="Y2" s="240" t="s">
        <v>96</v>
      </c>
      <c r="Z2" s="228" t="s">
        <v>143</v>
      </c>
      <c r="AA2" s="250"/>
      <c r="AB2" s="251"/>
      <c r="AC2" s="221"/>
    </row>
    <row r="3" spans="1:29" ht="15.75" customHeight="1" x14ac:dyDescent="0.2">
      <c r="A3" s="116" t="s">
        <v>1</v>
      </c>
      <c r="B3" s="117" t="s">
        <v>0</v>
      </c>
      <c r="C3" s="238" t="s">
        <v>128</v>
      </c>
      <c r="D3" s="244"/>
      <c r="E3" s="231"/>
      <c r="F3" s="231"/>
      <c r="G3" s="231"/>
      <c r="H3" s="231"/>
      <c r="I3" s="231"/>
      <c r="J3" s="231"/>
      <c r="K3" s="231"/>
      <c r="L3" s="231"/>
      <c r="M3" s="231"/>
      <c r="N3" s="231"/>
      <c r="O3" s="231"/>
      <c r="P3" s="231"/>
      <c r="Q3" s="231"/>
      <c r="R3" s="231"/>
      <c r="S3" s="231"/>
      <c r="T3" s="231"/>
      <c r="U3" s="231"/>
      <c r="V3" s="231"/>
      <c r="W3" s="249"/>
      <c r="X3" s="246"/>
      <c r="Y3" s="241"/>
      <c r="Z3" s="253"/>
      <c r="AA3" s="250"/>
      <c r="AB3" s="251"/>
      <c r="AC3" s="221"/>
    </row>
    <row r="4" spans="1:29" ht="16.5" customHeight="1" thickBot="1" x14ac:dyDescent="0.25">
      <c r="A4" s="118">
        <v>1</v>
      </c>
      <c r="B4" s="119" t="s">
        <v>34</v>
      </c>
      <c r="C4" s="239"/>
      <c r="D4" s="213"/>
      <c r="E4" s="215"/>
      <c r="F4" s="215"/>
      <c r="G4" s="215"/>
      <c r="H4" s="215"/>
      <c r="I4" s="215"/>
      <c r="J4" s="215"/>
      <c r="K4" s="215"/>
      <c r="L4" s="215"/>
      <c r="M4" s="215"/>
      <c r="N4" s="215"/>
      <c r="O4" s="215"/>
      <c r="P4" s="215"/>
      <c r="Q4" s="215"/>
      <c r="R4" s="215"/>
      <c r="S4" s="215"/>
      <c r="T4" s="215"/>
      <c r="U4" s="215"/>
      <c r="V4" s="215"/>
      <c r="W4" s="223"/>
      <c r="X4" s="247"/>
      <c r="Y4" s="242"/>
      <c r="Z4" s="229"/>
      <c r="AA4" s="120" t="s">
        <v>33</v>
      </c>
      <c r="AB4" s="121" t="s">
        <v>98</v>
      </c>
      <c r="AC4" s="236"/>
    </row>
    <row r="5" spans="1:29" ht="15" x14ac:dyDescent="0.25">
      <c r="A5" s="122" t="s">
        <v>38</v>
      </c>
      <c r="B5" s="123" t="s">
        <v>4</v>
      </c>
      <c r="C5" s="124" t="s">
        <v>74</v>
      </c>
      <c r="D5" s="125"/>
      <c r="E5" s="126"/>
      <c r="F5" s="126"/>
      <c r="G5" s="126"/>
      <c r="H5" s="127"/>
      <c r="I5" s="126"/>
      <c r="J5" s="126"/>
      <c r="K5" s="126"/>
      <c r="L5" s="126"/>
      <c r="M5" s="126"/>
      <c r="N5" s="126"/>
      <c r="O5" s="126"/>
      <c r="P5" s="126"/>
      <c r="Q5" s="126"/>
      <c r="R5" s="126"/>
      <c r="S5" s="128"/>
      <c r="T5" s="126"/>
      <c r="U5" s="126"/>
      <c r="V5" s="126"/>
      <c r="W5" s="129"/>
      <c r="X5" s="180" t="str">
        <f>IF(COUNTBLANK(D5:W5)&gt;19,"",IF(SUM(D5:W5)=0,"",0.2*AVERAGE(D5:W5)))</f>
        <v/>
      </c>
      <c r="Y5" s="181" t="str">
        <f>IF(COUNTBLANK(D5:W5)&gt;19,"",IF(COUNT(D5:W5)&lt;2,"",STDEV(D5:W5)))</f>
        <v/>
      </c>
      <c r="Z5" s="182" t="str">
        <f>IF(COUNTBLANK(D5:W5)&gt;19,"",IF(ISTEXT(AB5),"kein ZW",IF(SUM(D5:W5)=0,"---",IF(MAX(D5:W5)&lt;(0.25*AB5),"&lt; 25% ZW",IF(Y5="","",IF(Y5&gt;X5,"inhomogen","homogen"))))))</f>
        <v/>
      </c>
      <c r="AA5" s="183" t="str">
        <f>IF(AB5="","---",IF(Z5="","",IF(AND(D5&lt;=0.5*AB5,E5&lt;=0.5*AB5,F5&lt;=0.5*AB5,G5&lt;=0.5*AB5,H5&lt;=0.5*AB5,I5&lt;=0.5*AB5,J5&lt;=0.5*AB5,K5&lt;=0.5*AB5,L5&lt;=0.5*AB5,M5&lt;=0.5*AB5,N5&lt;=0.5*AB5,O5&lt;=0.5*AB5,P5&lt;=0.5*AB5,Q5&lt;=0.5*AB5,R5&lt;=0.5*AB5,S5&lt;=0.5*AB5,T5&lt;=0.5*AB5,U5&lt;=0.5*AB5,V5&lt;=0.5*AB5,W5&lt;=0.5*AB5),0.5*AB5,IF(AND(D5&lt;=AB5,E5&lt;=AB5,F5&lt;=AB5,G5&lt;=AB5,H5&lt;=AB5,I5&lt;=AB5,J5&lt;=AB5,K5&lt;=AB5,L5&lt;=AB5,M5&lt;=AB5,N5&lt;=AB5,O5&lt;=AB5,P5&lt;=AB5,Q5&lt;=AB5,R5&lt;=AB5,S5&lt;=AB5,T5&lt;=AB5,U5&lt;=AB5,V5&lt;=AB5,W5&lt;=AB5),MAX(D5:W5),"manuell"))))</f>
        <v/>
      </c>
      <c r="AB5" s="184">
        <f>IF($C$1="",3,IF($C$1=1,3,IF($C$1=2,5,IF($C$1=3,10,3))))</f>
        <v>5</v>
      </c>
      <c r="AC5" s="185" t="str">
        <f>IF(AB5="","",IF(Z5="---","",IF(AND(D5&lt;=0.5*AB5,E5&lt;=0.5*AB5,F5&lt;=0.5*AB5,G5&lt;=0.5*AB5,H5&lt;=0.5*AB5,I5&lt;=0.5*AB5,J5&lt;=0.5*AB5,K5&lt;=0.5*AB5,L5&lt;=0.5*AB5,M5&lt;=0.5*AB5,N5&lt;=0.5*AB5,O5&lt;=0.5*AB5,P5&lt;=0.5*AB5,Q5&lt;=0.5*AB5,R5&lt;=0.5*AB5,S5&lt;=0.5*AB5,T5&lt;=0.5*AB5,U5&lt;=0.5*AB5,V5&lt;=0.5*AB5,W5&lt;=0.5*AB5),"",IF(AND(D5&lt;=AB5,E5&lt;=AB5,F5&lt;=AB5,G5&lt;=AB5,H5&lt;=AB5,I5&lt;=AB5,J5&lt;=AB5,K5&lt;=AB5,L5&lt;=AB5,M5&lt;=AB5,N5&lt;=AB5,O5&lt;=AB5,P5&lt;=AB5,Q5&lt;=AB5,R5&lt;=AB5,S5&lt;=AB5,T5&lt;=AB5,U5&lt;=AB5,V5&lt;=AB5,W5&lt;=AB5),"","X"))))</f>
        <v/>
      </c>
    </row>
    <row r="6" spans="1:29" ht="15" thickBot="1" x14ac:dyDescent="0.25">
      <c r="A6" s="34" t="s">
        <v>39</v>
      </c>
      <c r="B6" s="35" t="s">
        <v>5</v>
      </c>
      <c r="C6" s="36" t="s">
        <v>74</v>
      </c>
      <c r="D6" s="130"/>
      <c r="E6" s="131"/>
      <c r="F6" s="131"/>
      <c r="G6" s="131"/>
      <c r="H6" s="132"/>
      <c r="I6" s="131"/>
      <c r="J6" s="131"/>
      <c r="K6" s="131"/>
      <c r="L6" s="131"/>
      <c r="M6" s="131"/>
      <c r="N6" s="131"/>
      <c r="O6" s="131"/>
      <c r="P6" s="131"/>
      <c r="Q6" s="131"/>
      <c r="R6" s="131"/>
      <c r="S6" s="133"/>
      <c r="T6" s="131"/>
      <c r="U6" s="131"/>
      <c r="V6" s="131"/>
      <c r="W6" s="134"/>
      <c r="X6" s="186" t="str">
        <f>IF(SUM(D6:W6)=0,"",0.2*AVERAGE(D6:W6))</f>
        <v/>
      </c>
      <c r="Y6" s="187" t="str">
        <f>IF(COUNT(D6:W6)&lt;2,"",STDEV(D6:W6))</f>
        <v/>
      </c>
      <c r="Z6" s="188" t="str">
        <f>IF(SUM(D6:W6)=0,"",IF(ISTEXT(AB6),"kein ZW",IF(MAX(D6:W6)&lt;(0.25*AB6),"&lt; 25% ZW",IF(Y6="","",IF(Y6&gt;X6,"inhomogen","homogen")))))</f>
        <v/>
      </c>
      <c r="AA6" s="189" t="str">
        <f>IF(AB6="","---",IF(Z6="","",IF(AND(D6&lt;=0.5*AB6,E6&lt;=0.5*AB6,F6&lt;=0.5*AB6,G6&lt;=0.5*AB6,H6&lt;=0.5*AB6,I6&lt;=0.5*AB6,J6&lt;=0.5*AB6,K6&lt;=0.5*AB6,L6&lt;=0.5*AB6,M6&lt;=0.5*AB6,N6&lt;=0.5*AB6,O6&lt;=0.5*AB6,P6&lt;=0.5*AB6,Q6&lt;=0.5*AB6,R6&lt;=0.5*AB6,S6&lt;=0.5*AB6,T6&lt;=0.5*AB6,U6&lt;=0.5*AB6,V6&lt;=0.5*AB6,W6&lt;=0.5*AB6),0.5*AB6,IF(AND(D6&lt;=AB6,E6&lt;=AB6,F6&lt;=AB6,G6&lt;=AB6,H6&lt;=AB6,I6&lt;=AB6,J6&lt;=AB6,K6&lt;=AB6,L6&lt;=AB6,M6&lt;=AB6,N6&lt;=AB6,O6&lt;=AB6,P6&lt;=AB6,Q6&lt;=AB6,R6&lt;=AB6,S6&lt;=AB6,T6&lt;=AB6,U6&lt;=AB6,V6&lt;=AB6,W6&lt;=AB6),MAX(D6:W6),"manuell"))))</f>
        <v/>
      </c>
      <c r="AB6" s="190">
        <f>IF($C$1="",1,IF($C$1=1,1,IF($C$1=2,3,IF($C$1=3,6,1))))</f>
        <v>3</v>
      </c>
      <c r="AC6" s="191" t="str">
        <f>IF(AB6="","",IF(Z6="---","",IF(AND(D6&lt;=0.5*AB6,E6&lt;=0.5*AB6,F6&lt;=0.5*AB6,G6&lt;=0.5*AB6,H6&lt;=0.5*AB6,I6&lt;=0.5*AB6,J6&lt;=0.5*AB6,K6&lt;=0.5*AB6,L6&lt;=0.5*AB6,M6&lt;=0.5*AB6,N6&lt;=0.5*AB6,O6&lt;=0.5*AB6,P6&lt;=0.5*AB6,Q6&lt;=0.5*AB6,R6&lt;=0.5*AB6,S6&lt;=0.5*AB6,T6&lt;=0.5*AB6,U6&lt;=0.5*AB6,V6&lt;=0.5*AB6,W6&lt;=0.5*AB6),"",IF(AND(D6&lt;=AB6,E6&lt;=AB6,F6&lt;=AB6,G6&lt;=AB6,H6&lt;=AB6,I6&lt;=AB6,J6&lt;=AB6,K6&lt;=AB6,L6&lt;=AB6,M6&lt;=AB6,N6&lt;=AB6,O6&lt;=AB6,P6&lt;=AB6,Q6&lt;=AB6,R6&lt;=AB6,S6&lt;=AB6,T6&lt;=AB6,U6&lt;=AB6,V6&lt;=AB6,W6&lt;=AB6),"","X"))))</f>
        <v/>
      </c>
    </row>
    <row r="7" spans="1:29" ht="14.25" x14ac:dyDescent="0.2">
      <c r="A7" s="19">
        <v>2</v>
      </c>
      <c r="B7" s="41" t="s">
        <v>17</v>
      </c>
      <c r="C7" s="42"/>
      <c r="D7" s="136"/>
      <c r="E7" s="137"/>
      <c r="F7" s="137"/>
      <c r="G7" s="137"/>
      <c r="H7" s="137"/>
      <c r="I7" s="136"/>
      <c r="J7" s="137"/>
      <c r="K7" s="137"/>
      <c r="L7" s="137"/>
      <c r="M7" s="137"/>
      <c r="N7" s="136"/>
      <c r="O7" s="137"/>
      <c r="P7" s="137"/>
      <c r="Q7" s="137"/>
      <c r="R7" s="137"/>
      <c r="S7" s="136"/>
      <c r="T7" s="137"/>
      <c r="U7" s="137"/>
      <c r="V7" s="137"/>
      <c r="W7" s="137"/>
      <c r="X7" s="138"/>
      <c r="Y7" s="138"/>
      <c r="Z7" s="139"/>
      <c r="AA7" s="140"/>
      <c r="AB7" s="141"/>
      <c r="AC7" s="142"/>
    </row>
    <row r="8" spans="1:29" ht="14.25" x14ac:dyDescent="0.2">
      <c r="A8" s="49" t="s">
        <v>40</v>
      </c>
      <c r="B8" s="50" t="s">
        <v>9</v>
      </c>
      <c r="C8" s="51" t="s">
        <v>75</v>
      </c>
      <c r="D8" s="143"/>
      <c r="E8" s="144"/>
      <c r="F8" s="144"/>
      <c r="G8" s="144"/>
      <c r="H8" s="145"/>
      <c r="I8" s="144"/>
      <c r="J8" s="144"/>
      <c r="K8" s="144"/>
      <c r="L8" s="144"/>
      <c r="M8" s="144"/>
      <c r="N8" s="144"/>
      <c r="O8" s="144"/>
      <c r="P8" s="144"/>
      <c r="Q8" s="144"/>
      <c r="R8" s="144"/>
      <c r="S8" s="146"/>
      <c r="T8" s="144"/>
      <c r="U8" s="144"/>
      <c r="V8" s="144"/>
      <c r="W8" s="147"/>
      <c r="X8" s="192" t="str">
        <f t="shared" ref="X8:X21" si="0">IF(SUM(D8:W8)=0,"",0.2*AVERAGE(D8:W8))</f>
        <v/>
      </c>
      <c r="Y8" s="193" t="str">
        <f t="shared" ref="Y8:Y21" si="1">IF(COUNT(D8:W8)&lt;2,"",STDEV(D8:W8))</f>
        <v/>
      </c>
      <c r="Z8" s="194" t="str">
        <f t="shared" ref="Z8:Z21" si="2">IF(SUM(D8:W8)=0,"",IF(ISTEXT(AB8),"kein ZW",IF(MAX(D8:W8)&lt;(0.25*AB8),"&lt; 25% ZW",IF(Y8="","",IF(Y8&gt;X8,"inhomogen","homogen")))))</f>
        <v/>
      </c>
      <c r="AA8" s="195" t="str">
        <f>IF(AB8="","---",IF(Z8="","",IF(AND(D8&lt;=0.5*AB8,E8&lt;=0.5*AB8,F8&lt;=0.5*AB8,G8&lt;=0.5*AB8,H8&lt;=0.5*AB8,I8&lt;=0.5*AB8,J8&lt;=0.5*AB8,K8&lt;=0.5*AB8,L8&lt;=0.5*AB8,M8&lt;=0.5*AB8,N8&lt;=0.5*AB8,O8&lt;=0.5*AB8,P8&lt;=0.5*AB8,Q8&lt;=0.5*AB8,R8&lt;=0.5*AB8,S8&lt;=0.5*AB8,T8&lt;=0.5*AB8,U8&lt;=0.5*AB8,V8&lt;=0.5*AB8,W8&lt;=0.5*AB8),0.5*AB8,IF(AND(D8&lt;=AB8,E8&lt;=AB8,F8&lt;=AB8,G8&lt;=AB8,H8&lt;=AB8,I8&lt;=AB8,J8&lt;=AB8,K8&lt;=AB8,L8&lt;=AB8,M8&lt;=AB8,N8&lt;=AB8,O8&lt;=AB8,P8&lt;=AB8,Q8&lt;=AB8,R8&lt;=AB8,S8&lt;=AB8,T8&lt;=AB8,U8&lt;=AB8,V8&lt;=AB8,W8&lt;=AB8),MAX(D8:W8),"manuell"))))</f>
        <v/>
      </c>
      <c r="AB8" s="196">
        <f>IF($C$1="",1,IF($C$1=1,6,IF($C$1=2,6,IF($C$1=3,6,6))))</f>
        <v>6</v>
      </c>
      <c r="AC8" s="197" t="str">
        <f>IF(AB8="","",IF(Z8="---","",IF(AND(D8&lt;=0.5*AB8,E8&lt;=0.5*AB8,F8&lt;=0.5*AB8,G8&lt;=0.5*AB8,H8&lt;=0.5*AB8,I8&lt;=0.5*AB8,J8&lt;=0.5*AB8,K8&lt;=0.5*AB8,L8&lt;=0.5*AB8,M8&lt;=0.5*AB8,N8&lt;=0.5*AB8,O8&lt;=0.5*AB8,P8&lt;=0.5*AB8,Q8&lt;=0.5*AB8,R8&lt;=0.5*AB8,S8&lt;=0.5*AB8,T8&lt;=0.5*AB8,U8&lt;=0.5*AB8,V8&lt;=0.5*AB8,W8&lt;=0.5*AB8),"",IF(AND(D8&lt;=AB8,E8&lt;=AB8,F8&lt;=AB8,G8&lt;=AB8,H8&lt;=AB8,I8&lt;=AB8,J8&lt;=AB8,K8&lt;=AB8,L8&lt;=AB8,M8&lt;=AB8,N8&lt;=AB8,O8&lt;=AB8,P8&lt;=AB8,Q8&lt;=AB8,R8&lt;=AB8,S8&lt;=AB8,T8&lt;=AB8,U8&lt;=AB8,V8&lt;=AB8,W8&lt;=AB8),"","X"))))</f>
        <v/>
      </c>
    </row>
    <row r="9" spans="1:29" ht="12.75" customHeight="1" x14ac:dyDescent="0.2">
      <c r="A9" s="49" t="s">
        <v>41</v>
      </c>
      <c r="B9" s="56" t="s">
        <v>129</v>
      </c>
      <c r="C9" s="51" t="s">
        <v>75</v>
      </c>
      <c r="D9" s="150"/>
      <c r="E9" s="151"/>
      <c r="F9" s="151"/>
      <c r="G9" s="151"/>
      <c r="H9" s="152"/>
      <c r="I9" s="151"/>
      <c r="J9" s="151"/>
      <c r="K9" s="151"/>
      <c r="L9" s="151"/>
      <c r="M9" s="151"/>
      <c r="N9" s="151"/>
      <c r="O9" s="151"/>
      <c r="P9" s="151"/>
      <c r="Q9" s="151"/>
      <c r="R9" s="151"/>
      <c r="S9" s="153"/>
      <c r="T9" s="151"/>
      <c r="U9" s="151"/>
      <c r="V9" s="151"/>
      <c r="W9" s="154"/>
      <c r="X9" s="192" t="str">
        <f t="shared" si="0"/>
        <v/>
      </c>
      <c r="Y9" s="193" t="str">
        <f t="shared" si="1"/>
        <v/>
      </c>
      <c r="Z9" s="194" t="str">
        <f t="shared" si="2"/>
        <v/>
      </c>
      <c r="AA9" s="195" t="str">
        <f t="shared" ref="AA9:AA20" si="3">IF(AB9="","---",IF(Z9="","",IF(AND(D9&lt;=0.5*AB9,E9&lt;=0.5*AB9,F9&lt;=0.5*AB9,G9&lt;=0.5*AB9,H9&lt;=0.5*AB9,I9&lt;=0.5*AB9,J9&lt;=0.5*AB9,K9&lt;=0.5*AB9,L9&lt;=0.5*AB9,M9&lt;=0.5*AB9,N9&lt;=0.5*AB9,O9&lt;=0.5*AB9,P9&lt;=0.5*AB9,Q9&lt;=0.5*AB9,R9&lt;=0.5*AB9,S9&lt;=0.5*AB9,T9&lt;=0.5*AB9,U9&lt;=0.5*AB9,V9&lt;=0.5*AB9,W9&lt;=0.5*AB9),0.5*AB9,IF(AND(D9&lt;=AB9,E9&lt;=AB9,F9&lt;=AB9,G9&lt;=AB9,H9&lt;=AB9,I9&lt;=AB9,J9&lt;=AB9,K9&lt;=AB9,L9&lt;=AB9,M9&lt;=AB9,N9&lt;=AB9,O9&lt;=AB9,P9&lt;=AB9,Q9&lt;=AB9,R9&lt;=AB9,S9&lt;=AB9,T9&lt;=AB9,U9&lt;=AB9,V9&lt;=AB9,W9&lt;=AB9),MAX(D9:W9),"manuell"))))</f>
        <v/>
      </c>
      <c r="AB9" s="196">
        <f>IF($C$1="",0.02,IF($C$1=1,5,IF($C$1=2,10,IF($C$1=3,10,1))))</f>
        <v>10</v>
      </c>
      <c r="AC9" s="197" t="str">
        <f t="shared" ref="AC9:AC21" si="4">IF(AB9="","",IF(Z9="---","",IF(AND(D9&lt;=0.5*AB9,E9&lt;=0.5*AB9,F9&lt;=0.5*AB9,G9&lt;=0.5*AB9,H9&lt;=0.5*AB9,I9&lt;=0.5*AB9,J9&lt;=0.5*AB9,K9&lt;=0.5*AB9,L9&lt;=0.5*AB9,M9&lt;=0.5*AB9,N9&lt;=0.5*AB9,O9&lt;=0.5*AB9,P9&lt;=0.5*AB9,Q9&lt;=0.5*AB9,R9&lt;=0.5*AB9,S9&lt;=0.5*AB9,T9&lt;=0.5*AB9,U9&lt;=0.5*AB9,V9&lt;=0.5*AB9,W9&lt;=0.5*AB9),"",IF(AND(D9&lt;=AB9,E9&lt;=AB9,F9&lt;=AB9,G9&lt;=AB9,H9&lt;=AB9,I9&lt;=AB9,J9&lt;=AB9,K9&lt;=AB9,L9&lt;=AB9,M9&lt;=AB9,N9&lt;=AB9,O9&lt;=AB9,P9&lt;=AB9,Q9&lt;=AB9,R9&lt;=AB9,S9&lt;=AB9,T9&lt;=AB9,U9&lt;=AB9,V9&lt;=AB9,W9&lt;=AB9),"","X"))))</f>
        <v/>
      </c>
    </row>
    <row r="10" spans="1:29" ht="14.25" x14ac:dyDescent="0.2">
      <c r="A10" s="49" t="s">
        <v>42</v>
      </c>
      <c r="B10" s="50" t="s">
        <v>6</v>
      </c>
      <c r="C10" s="51" t="s">
        <v>75</v>
      </c>
      <c r="D10" s="143"/>
      <c r="E10" s="144"/>
      <c r="F10" s="144"/>
      <c r="G10" s="144"/>
      <c r="H10" s="145"/>
      <c r="I10" s="144"/>
      <c r="J10" s="144"/>
      <c r="K10" s="144"/>
      <c r="L10" s="144"/>
      <c r="M10" s="144"/>
      <c r="N10" s="144"/>
      <c r="O10" s="144"/>
      <c r="P10" s="144"/>
      <c r="Q10" s="144"/>
      <c r="R10" s="144"/>
      <c r="S10" s="146"/>
      <c r="T10" s="144"/>
      <c r="U10" s="144"/>
      <c r="V10" s="144"/>
      <c r="W10" s="147"/>
      <c r="X10" s="192" t="str">
        <f t="shared" si="0"/>
        <v/>
      </c>
      <c r="Y10" s="193" t="str">
        <f t="shared" si="1"/>
        <v/>
      </c>
      <c r="Z10" s="194" t="str">
        <f t="shared" si="2"/>
        <v/>
      </c>
      <c r="AA10" s="195" t="str">
        <f t="shared" si="3"/>
        <v/>
      </c>
      <c r="AB10" s="196">
        <f>IF($C$1="",100,IF($C$1=1,4000,IF($C$1=2,8000,IF($C$1=3,8000,500))))</f>
        <v>8000</v>
      </c>
      <c r="AC10" s="197" t="str">
        <f t="shared" si="4"/>
        <v/>
      </c>
    </row>
    <row r="11" spans="1:29" ht="14.25" x14ac:dyDescent="0.2">
      <c r="A11" s="49" t="s">
        <v>43</v>
      </c>
      <c r="B11" s="50" t="s">
        <v>19</v>
      </c>
      <c r="C11" s="51" t="s">
        <v>75</v>
      </c>
      <c r="D11" s="143"/>
      <c r="E11" s="144"/>
      <c r="F11" s="144"/>
      <c r="G11" s="144"/>
      <c r="H11" s="145"/>
      <c r="I11" s="144"/>
      <c r="J11" s="144"/>
      <c r="K11" s="144"/>
      <c r="L11" s="144"/>
      <c r="M11" s="144"/>
      <c r="N11" s="144"/>
      <c r="O11" s="144"/>
      <c r="P11" s="144"/>
      <c r="Q11" s="144"/>
      <c r="R11" s="144"/>
      <c r="S11" s="146"/>
      <c r="T11" s="144"/>
      <c r="U11" s="144"/>
      <c r="V11" s="144"/>
      <c r="W11" s="147"/>
      <c r="X11" s="192" t="str">
        <f t="shared" si="0"/>
        <v/>
      </c>
      <c r="Y11" s="193" t="str">
        <f t="shared" si="1"/>
        <v/>
      </c>
      <c r="Z11" s="194" t="str">
        <f t="shared" si="2"/>
        <v/>
      </c>
      <c r="AA11" s="195" t="str">
        <f t="shared" si="3"/>
        <v/>
      </c>
      <c r="AB11" s="196">
        <f>IF($C$1="",30,IF($C$1=1,500,IF($C$1=2,3000,IF($C$1=3,3000,30))))</f>
        <v>3000</v>
      </c>
      <c r="AC11" s="197" t="str">
        <f t="shared" si="4"/>
        <v/>
      </c>
    </row>
    <row r="12" spans="1:29" ht="14.25" x14ac:dyDescent="0.2">
      <c r="A12" s="49" t="s">
        <v>44</v>
      </c>
      <c r="B12" s="59" t="s">
        <v>7</v>
      </c>
      <c r="C12" s="51" t="s">
        <v>75</v>
      </c>
      <c r="D12" s="143"/>
      <c r="E12" s="144"/>
      <c r="F12" s="144"/>
      <c r="G12" s="144"/>
      <c r="H12" s="145"/>
      <c r="I12" s="144"/>
      <c r="J12" s="144"/>
      <c r="K12" s="144"/>
      <c r="L12" s="144"/>
      <c r="M12" s="144"/>
      <c r="N12" s="144"/>
      <c r="O12" s="144"/>
      <c r="P12" s="144"/>
      <c r="Q12" s="144"/>
      <c r="R12" s="144"/>
      <c r="S12" s="146"/>
      <c r="T12" s="144"/>
      <c r="U12" s="144"/>
      <c r="V12" s="144"/>
      <c r="W12" s="147"/>
      <c r="X12" s="192" t="str">
        <f t="shared" si="0"/>
        <v/>
      </c>
      <c r="Y12" s="193" t="str">
        <f t="shared" si="1"/>
        <v/>
      </c>
      <c r="Z12" s="194" t="str">
        <f t="shared" si="2"/>
        <v/>
      </c>
      <c r="AA12" s="195" t="str">
        <f t="shared" si="3"/>
        <v>---</v>
      </c>
      <c r="AB12" s="198" t="str">
        <f>IF($C$1="","",IF($C$1=1,"",IF($C$1=2,"",IF($C$1=3,"",""))))</f>
        <v/>
      </c>
      <c r="AC12" s="197" t="str">
        <f t="shared" si="4"/>
        <v/>
      </c>
    </row>
    <row r="13" spans="1:29" ht="14.25" x14ac:dyDescent="0.2">
      <c r="A13" s="49" t="s">
        <v>45</v>
      </c>
      <c r="B13" s="59" t="s">
        <v>139</v>
      </c>
      <c r="C13" s="60" t="s">
        <v>140</v>
      </c>
      <c r="D13" s="143"/>
      <c r="E13" s="144"/>
      <c r="F13" s="144"/>
      <c r="G13" s="144"/>
      <c r="H13" s="145"/>
      <c r="I13" s="144"/>
      <c r="J13" s="144"/>
      <c r="K13" s="144"/>
      <c r="L13" s="144"/>
      <c r="M13" s="144"/>
      <c r="N13" s="144"/>
      <c r="O13" s="144"/>
      <c r="P13" s="144"/>
      <c r="Q13" s="144"/>
      <c r="R13" s="144"/>
      <c r="S13" s="146"/>
      <c r="T13" s="144"/>
      <c r="U13" s="144"/>
      <c r="V13" s="144"/>
      <c r="W13" s="147"/>
      <c r="X13" s="192" t="str">
        <f t="shared" si="0"/>
        <v/>
      </c>
      <c r="Y13" s="193" t="str">
        <f t="shared" si="1"/>
        <v/>
      </c>
      <c r="Z13" s="194" t="str">
        <f t="shared" si="2"/>
        <v/>
      </c>
      <c r="AA13" s="195" t="str">
        <f t="shared" si="3"/>
        <v>---</v>
      </c>
      <c r="AB13" s="198" t="str">
        <f>IF($C$1="","",IF($C$1=1,"",IF($C$1=2,"",IF($C$1=3,"",""))))</f>
        <v/>
      </c>
      <c r="AC13" s="197" t="str">
        <f t="shared" si="4"/>
        <v/>
      </c>
    </row>
    <row r="14" spans="1:29" ht="12.75" customHeight="1" x14ac:dyDescent="0.2">
      <c r="A14" s="49" t="s">
        <v>46</v>
      </c>
      <c r="B14" s="59" t="s">
        <v>20</v>
      </c>
      <c r="C14" s="51" t="s">
        <v>74</v>
      </c>
      <c r="D14" s="143"/>
      <c r="E14" s="144"/>
      <c r="F14" s="144"/>
      <c r="G14" s="144"/>
      <c r="H14" s="145"/>
      <c r="I14" s="144"/>
      <c r="J14" s="144"/>
      <c r="K14" s="144"/>
      <c r="L14" s="144"/>
      <c r="M14" s="144"/>
      <c r="N14" s="144"/>
      <c r="O14" s="144"/>
      <c r="P14" s="144"/>
      <c r="Q14" s="144"/>
      <c r="R14" s="144"/>
      <c r="S14" s="146"/>
      <c r="T14" s="144"/>
      <c r="U14" s="144"/>
      <c r="V14" s="144"/>
      <c r="W14" s="147"/>
      <c r="X14" s="192" t="str">
        <f t="shared" si="0"/>
        <v/>
      </c>
      <c r="Y14" s="193" t="str">
        <f t="shared" si="1"/>
        <v/>
      </c>
      <c r="Z14" s="194" t="str">
        <f t="shared" si="2"/>
        <v/>
      </c>
      <c r="AA14" s="195" t="str">
        <f t="shared" si="3"/>
        <v/>
      </c>
      <c r="AB14" s="196">
        <f>IF($C$1="","",IF($C$1=1,0.4,IF($C$1=2,0.8,IF($C$1=3,4,0.1))))</f>
        <v>0.8</v>
      </c>
      <c r="AC14" s="197" t="str">
        <f t="shared" si="4"/>
        <v/>
      </c>
    </row>
    <row r="15" spans="1:29" ht="14.25" x14ac:dyDescent="0.2">
      <c r="A15" s="49" t="s">
        <v>47</v>
      </c>
      <c r="B15" s="59" t="s">
        <v>10</v>
      </c>
      <c r="C15" s="51" t="s">
        <v>75</v>
      </c>
      <c r="D15" s="143"/>
      <c r="E15" s="144"/>
      <c r="F15" s="144"/>
      <c r="G15" s="144"/>
      <c r="H15" s="145"/>
      <c r="I15" s="144"/>
      <c r="J15" s="144"/>
      <c r="K15" s="144"/>
      <c r="L15" s="144"/>
      <c r="M15" s="144"/>
      <c r="N15" s="144"/>
      <c r="O15" s="144"/>
      <c r="P15" s="144"/>
      <c r="Q15" s="144"/>
      <c r="R15" s="144"/>
      <c r="S15" s="146"/>
      <c r="T15" s="144"/>
      <c r="U15" s="144"/>
      <c r="V15" s="144"/>
      <c r="W15" s="147"/>
      <c r="X15" s="192" t="str">
        <f t="shared" si="0"/>
        <v/>
      </c>
      <c r="Y15" s="193" t="str">
        <f t="shared" si="1"/>
        <v/>
      </c>
      <c r="Z15" s="194" t="str">
        <f t="shared" si="2"/>
        <v/>
      </c>
      <c r="AA15" s="195" t="str">
        <f t="shared" si="3"/>
        <v>---</v>
      </c>
      <c r="AB15" s="198" t="str">
        <f t="shared" ref="AB15:AB21" si="5">IF($C$1="","",IF($C$1=1,"",IF($C$1=2,"",IF($C$1=3,"",""))))</f>
        <v/>
      </c>
      <c r="AC15" s="197" t="str">
        <f t="shared" si="4"/>
        <v/>
      </c>
    </row>
    <row r="16" spans="1:29" ht="14.25" x14ac:dyDescent="0.2">
      <c r="A16" s="49" t="s">
        <v>48</v>
      </c>
      <c r="B16" s="59" t="s">
        <v>11</v>
      </c>
      <c r="C16" s="51" t="s">
        <v>75</v>
      </c>
      <c r="D16" s="155"/>
      <c r="E16" s="156"/>
      <c r="F16" s="156"/>
      <c r="G16" s="156"/>
      <c r="H16" s="157"/>
      <c r="I16" s="156"/>
      <c r="J16" s="156"/>
      <c r="K16" s="156"/>
      <c r="L16" s="156"/>
      <c r="M16" s="156"/>
      <c r="N16" s="156"/>
      <c r="O16" s="156"/>
      <c r="P16" s="156"/>
      <c r="Q16" s="156"/>
      <c r="R16" s="156"/>
      <c r="S16" s="158"/>
      <c r="T16" s="156"/>
      <c r="U16" s="156"/>
      <c r="V16" s="156"/>
      <c r="W16" s="159"/>
      <c r="X16" s="192" t="str">
        <f t="shared" si="0"/>
        <v/>
      </c>
      <c r="Y16" s="193" t="str">
        <f t="shared" si="1"/>
        <v/>
      </c>
      <c r="Z16" s="194" t="str">
        <f t="shared" si="2"/>
        <v/>
      </c>
      <c r="AA16" s="195" t="str">
        <f t="shared" si="3"/>
        <v>---</v>
      </c>
      <c r="AB16" s="198" t="str">
        <f t="shared" si="5"/>
        <v/>
      </c>
      <c r="AC16" s="197" t="str">
        <f t="shared" si="4"/>
        <v/>
      </c>
    </row>
    <row r="17" spans="1:29" ht="14.25" x14ac:dyDescent="0.2">
      <c r="A17" s="49" t="s">
        <v>49</v>
      </c>
      <c r="B17" s="59" t="s">
        <v>12</v>
      </c>
      <c r="C17" s="51" t="s">
        <v>75</v>
      </c>
      <c r="D17" s="143"/>
      <c r="E17" s="144"/>
      <c r="F17" s="144"/>
      <c r="G17" s="144"/>
      <c r="H17" s="145"/>
      <c r="I17" s="144"/>
      <c r="J17" s="144"/>
      <c r="K17" s="144"/>
      <c r="L17" s="144"/>
      <c r="M17" s="144"/>
      <c r="N17" s="144"/>
      <c r="O17" s="144"/>
      <c r="P17" s="144"/>
      <c r="Q17" s="144"/>
      <c r="R17" s="144"/>
      <c r="S17" s="146"/>
      <c r="T17" s="144"/>
      <c r="U17" s="144"/>
      <c r="V17" s="144"/>
      <c r="W17" s="147"/>
      <c r="X17" s="192" t="str">
        <f t="shared" si="0"/>
        <v/>
      </c>
      <c r="Y17" s="193" t="str">
        <f t="shared" si="1"/>
        <v/>
      </c>
      <c r="Z17" s="194" t="str">
        <f t="shared" si="2"/>
        <v/>
      </c>
      <c r="AA17" s="195" t="str">
        <f t="shared" si="3"/>
        <v>---</v>
      </c>
      <c r="AB17" s="198" t="str">
        <f t="shared" si="5"/>
        <v/>
      </c>
      <c r="AC17" s="197" t="str">
        <f t="shared" si="4"/>
        <v/>
      </c>
    </row>
    <row r="18" spans="1:29" ht="14.25" x14ac:dyDescent="0.2">
      <c r="A18" s="49" t="s">
        <v>50</v>
      </c>
      <c r="B18" s="59" t="s">
        <v>13</v>
      </c>
      <c r="C18" s="51" t="s">
        <v>75</v>
      </c>
      <c r="D18" s="143"/>
      <c r="E18" s="144"/>
      <c r="F18" s="144"/>
      <c r="G18" s="144"/>
      <c r="H18" s="145"/>
      <c r="I18" s="144"/>
      <c r="J18" s="144"/>
      <c r="K18" s="144"/>
      <c r="L18" s="144"/>
      <c r="M18" s="144"/>
      <c r="N18" s="144"/>
      <c r="O18" s="144"/>
      <c r="P18" s="144"/>
      <c r="Q18" s="144"/>
      <c r="R18" s="144"/>
      <c r="S18" s="146"/>
      <c r="T18" s="144"/>
      <c r="U18" s="144"/>
      <c r="V18" s="144"/>
      <c r="W18" s="147"/>
      <c r="X18" s="192" t="str">
        <f t="shared" si="0"/>
        <v/>
      </c>
      <c r="Y18" s="193" t="str">
        <f t="shared" si="1"/>
        <v/>
      </c>
      <c r="Z18" s="194" t="str">
        <f t="shared" si="2"/>
        <v/>
      </c>
      <c r="AA18" s="195" t="str">
        <f t="shared" si="3"/>
        <v>---</v>
      </c>
      <c r="AB18" s="198" t="str">
        <f t="shared" si="5"/>
        <v/>
      </c>
      <c r="AC18" s="197" t="str">
        <f t="shared" si="4"/>
        <v/>
      </c>
    </row>
    <row r="19" spans="1:29" ht="14.25" x14ac:dyDescent="0.2">
      <c r="A19" s="49" t="s">
        <v>51</v>
      </c>
      <c r="B19" s="59" t="s">
        <v>14</v>
      </c>
      <c r="C19" s="51" t="s">
        <v>75</v>
      </c>
      <c r="D19" s="143"/>
      <c r="E19" s="144"/>
      <c r="F19" s="144"/>
      <c r="G19" s="144"/>
      <c r="H19" s="145"/>
      <c r="I19" s="144"/>
      <c r="J19" s="144"/>
      <c r="K19" s="144"/>
      <c r="L19" s="144"/>
      <c r="M19" s="144"/>
      <c r="N19" s="144"/>
      <c r="O19" s="144"/>
      <c r="P19" s="144"/>
      <c r="Q19" s="144"/>
      <c r="R19" s="144"/>
      <c r="S19" s="146"/>
      <c r="T19" s="144"/>
      <c r="U19" s="144"/>
      <c r="V19" s="144"/>
      <c r="W19" s="147"/>
      <c r="X19" s="192" t="str">
        <f t="shared" si="0"/>
        <v/>
      </c>
      <c r="Y19" s="193" t="str">
        <f t="shared" si="1"/>
        <v/>
      </c>
      <c r="Z19" s="194" t="str">
        <f t="shared" si="2"/>
        <v/>
      </c>
      <c r="AA19" s="195" t="str">
        <f t="shared" si="3"/>
        <v>---</v>
      </c>
      <c r="AB19" s="198" t="str">
        <f t="shared" si="5"/>
        <v/>
      </c>
      <c r="AC19" s="197" t="str">
        <f t="shared" si="4"/>
        <v/>
      </c>
    </row>
    <row r="20" spans="1:29" ht="14.25" x14ac:dyDescent="0.2">
      <c r="A20" s="49" t="s">
        <v>52</v>
      </c>
      <c r="B20" s="59" t="s">
        <v>15</v>
      </c>
      <c r="C20" s="51" t="s">
        <v>75</v>
      </c>
      <c r="D20" s="155"/>
      <c r="E20" s="156"/>
      <c r="F20" s="156"/>
      <c r="G20" s="156"/>
      <c r="H20" s="157"/>
      <c r="I20" s="156"/>
      <c r="J20" s="156"/>
      <c r="K20" s="156"/>
      <c r="L20" s="156"/>
      <c r="M20" s="156"/>
      <c r="N20" s="156"/>
      <c r="O20" s="156"/>
      <c r="P20" s="156"/>
      <c r="Q20" s="156"/>
      <c r="R20" s="156"/>
      <c r="S20" s="158"/>
      <c r="T20" s="156"/>
      <c r="U20" s="156"/>
      <c r="V20" s="156"/>
      <c r="W20" s="159"/>
      <c r="X20" s="192" t="str">
        <f t="shared" si="0"/>
        <v/>
      </c>
      <c r="Y20" s="193" t="str">
        <f t="shared" si="1"/>
        <v/>
      </c>
      <c r="Z20" s="194" t="str">
        <f t="shared" si="2"/>
        <v/>
      </c>
      <c r="AA20" s="195" t="str">
        <f t="shared" si="3"/>
        <v>---</v>
      </c>
      <c r="AB20" s="198" t="str">
        <f t="shared" si="5"/>
        <v/>
      </c>
      <c r="AC20" s="197" t="str">
        <f t="shared" si="4"/>
        <v/>
      </c>
    </row>
    <row r="21" spans="1:29" ht="15.75" customHeight="1" thickBot="1" x14ac:dyDescent="0.25">
      <c r="A21" s="63" t="s">
        <v>53</v>
      </c>
      <c r="B21" s="64" t="s">
        <v>16</v>
      </c>
      <c r="C21" s="51" t="s">
        <v>75</v>
      </c>
      <c r="D21" s="160"/>
      <c r="E21" s="161"/>
      <c r="F21" s="161"/>
      <c r="G21" s="161"/>
      <c r="H21" s="162"/>
      <c r="I21" s="161"/>
      <c r="J21" s="161"/>
      <c r="K21" s="161"/>
      <c r="L21" s="161"/>
      <c r="M21" s="161"/>
      <c r="N21" s="161"/>
      <c r="O21" s="161"/>
      <c r="P21" s="161"/>
      <c r="Q21" s="161"/>
      <c r="R21" s="161"/>
      <c r="S21" s="163"/>
      <c r="T21" s="161"/>
      <c r="U21" s="161"/>
      <c r="V21" s="161"/>
      <c r="W21" s="164"/>
      <c r="X21" s="186" t="str">
        <f t="shared" si="0"/>
        <v/>
      </c>
      <c r="Y21" s="187" t="str">
        <f t="shared" si="1"/>
        <v/>
      </c>
      <c r="Z21" s="194" t="str">
        <f t="shared" si="2"/>
        <v/>
      </c>
      <c r="AA21" s="199" t="str">
        <f>IF(AB21="","---",IF(Z21="","",IF(AND(D21&lt;=0.5*AB21,E21&lt;=0.5*AB21,F21&lt;=0.5*AB21,G21&lt;=0.5*AB21,#REF!&lt;=0.5*AB21,W21&lt;=0.5*AB21),0.5*AB21,IF(AND(D21&lt;=AB21,E21&lt;=AB21,F21&lt;=AB21,G21&lt;=AB21,#REF!&lt;=AB21,W21&lt;=AB21),MAX(D21:W21),"manuell"))))</f>
        <v>---</v>
      </c>
      <c r="AB21" s="200" t="str">
        <f t="shared" si="5"/>
        <v/>
      </c>
      <c r="AC21" s="191" t="str">
        <f t="shared" si="4"/>
        <v/>
      </c>
    </row>
    <row r="22" spans="1:29" ht="14.25" x14ac:dyDescent="0.2">
      <c r="A22" s="19">
        <v>3</v>
      </c>
      <c r="B22" s="68" t="s">
        <v>18</v>
      </c>
      <c r="C22" s="69"/>
      <c r="D22" s="165"/>
      <c r="E22" s="141"/>
      <c r="F22" s="141"/>
      <c r="G22" s="141"/>
      <c r="H22" s="141"/>
      <c r="I22" s="141"/>
      <c r="J22" s="141"/>
      <c r="K22" s="141"/>
      <c r="L22" s="141"/>
      <c r="M22" s="141"/>
      <c r="N22" s="141"/>
      <c r="O22" s="141"/>
      <c r="P22" s="141"/>
      <c r="Q22" s="141"/>
      <c r="R22" s="141"/>
      <c r="S22" s="141"/>
      <c r="T22" s="141"/>
      <c r="U22" s="141"/>
      <c r="V22" s="141"/>
      <c r="W22" s="141"/>
      <c r="X22" s="138"/>
      <c r="Y22" s="138"/>
      <c r="Z22" s="139"/>
      <c r="AA22" s="140"/>
      <c r="AB22" s="141"/>
      <c r="AC22" s="166"/>
    </row>
    <row r="23" spans="1:29" ht="14.25" x14ac:dyDescent="0.2">
      <c r="A23" s="49" t="s">
        <v>54</v>
      </c>
      <c r="B23" s="59" t="s">
        <v>100</v>
      </c>
      <c r="C23" s="60"/>
      <c r="D23" s="155"/>
      <c r="E23" s="156"/>
      <c r="F23" s="156"/>
      <c r="G23" s="156"/>
      <c r="H23" s="157"/>
      <c r="I23" s="156"/>
      <c r="J23" s="156"/>
      <c r="K23" s="156"/>
      <c r="L23" s="156"/>
      <c r="M23" s="156"/>
      <c r="N23" s="156"/>
      <c r="O23" s="156"/>
      <c r="P23" s="156"/>
      <c r="Q23" s="156"/>
      <c r="R23" s="156"/>
      <c r="S23" s="158"/>
      <c r="T23" s="156"/>
      <c r="U23" s="156"/>
      <c r="V23" s="156"/>
      <c r="W23" s="159"/>
      <c r="X23" s="192" t="str">
        <f t="shared" ref="X23:X44" si="6">IF(SUM(D23:W23)=0,"",0.2*AVERAGE(D23:W23))</f>
        <v/>
      </c>
      <c r="Y23" s="193" t="str">
        <f t="shared" ref="Y23:Y44" si="7">IF(COUNT(D23:W23)&lt;2,"",STDEV(D23:W23))</f>
        <v/>
      </c>
      <c r="Z23" s="194" t="str">
        <f t="shared" ref="Z23:Z44" si="8">IF(SUM(D23:W23)=0,"",IF(ISTEXT(AB23),"kein ZW",IF(MAX(D23:W23)&lt;(0.25*AB23),"&lt; 25% ZW",IF(Y23="","",IF(Y23&gt;X23,"inhomogen","homogen")))))</f>
        <v/>
      </c>
      <c r="AA23" s="148"/>
      <c r="AB23" s="196" t="str">
        <f>IF($C$1="","6,5-9",IF($C$1=1,"5,5-13",IF($C$1=2,"5,5-13",IF($C$1=3,"4-13","5,5-13"))))</f>
        <v>5,5-13</v>
      </c>
      <c r="AC23" s="72"/>
    </row>
    <row r="24" spans="1:29" ht="14.25" x14ac:dyDescent="0.2">
      <c r="A24" s="49" t="s">
        <v>55</v>
      </c>
      <c r="B24" s="59" t="s">
        <v>101</v>
      </c>
      <c r="C24" s="60" t="s">
        <v>77</v>
      </c>
      <c r="D24" s="155"/>
      <c r="E24" s="156"/>
      <c r="F24" s="156"/>
      <c r="G24" s="156"/>
      <c r="H24" s="157"/>
      <c r="I24" s="156"/>
      <c r="J24" s="156"/>
      <c r="K24" s="156"/>
      <c r="L24" s="156"/>
      <c r="M24" s="156"/>
      <c r="N24" s="156"/>
      <c r="O24" s="156"/>
      <c r="P24" s="156"/>
      <c r="Q24" s="156"/>
      <c r="R24" s="156"/>
      <c r="S24" s="158"/>
      <c r="T24" s="156"/>
      <c r="U24" s="156"/>
      <c r="V24" s="156"/>
      <c r="W24" s="159"/>
      <c r="X24" s="192" t="str">
        <f t="shared" si="6"/>
        <v/>
      </c>
      <c r="Y24" s="193" t="str">
        <f t="shared" si="7"/>
        <v/>
      </c>
      <c r="Z24" s="194" t="str">
        <f t="shared" si="8"/>
        <v/>
      </c>
      <c r="AA24" s="195" t="str">
        <f t="shared" ref="AA24:AA44" si="9">IF(AB24="","---",IF(Z24="","",IF(AND(D24&lt;=0.5*AB24,E24&lt;=0.5*AB24,F24&lt;=0.5*AB24,G24&lt;=0.5*AB24,H24&lt;=0.5*AB24,I24&lt;=0.5*AB24,J24&lt;=0.5*AB24,K24&lt;=0.5*AB24,L24&lt;=0.5*AB24,M24&lt;=0.5*AB24,N24&lt;=0.5*AB24,O24&lt;=0.5*AB24,P24&lt;=0.5*AB24,Q24&lt;=0.5*AB24,R24&lt;=0.5*AB24,S24&lt;=0.5*AB24,T24&lt;=0.5*AB24,U24&lt;=0.5*AB24,V24&lt;=0.5*AB24,W24&lt;=0.5*AB24),0.5*AB24,IF(AND(D24&lt;=AB24,E24&lt;=AB24,F24&lt;=AB24,G24&lt;=AB24,H24&lt;=AB24,I24&lt;=AB24,J24&lt;=AB24,K24&lt;=AB24,L24&lt;=AB24,M24&lt;=AB24,N24&lt;=AB24,O24&lt;=AB24,P24&lt;=AB24,Q24&lt;=AB24,R24&lt;=AB24,S24&lt;=AB24,T24&lt;=AB24,U24&lt;=AB24,V24&lt;=AB24,W24&lt;=AB24),MAX(D24:W24),"manuell"))))</f>
        <v/>
      </c>
      <c r="AB24" s="196">
        <f>IF($C$1="","",IF($C$1=1,50,IF($C$1=2,80,IF($C$1=3,100,50))))</f>
        <v>80</v>
      </c>
      <c r="AC24" s="197" t="str">
        <f>IF(AB24="","",IF(Z24="---","",IF(AND(D24&lt;=0.5*AB24,E24&lt;=0.5*AB24,F24&lt;=0.5*AB24,G24&lt;=0.5*AB24,H24&lt;=0.5*AB24,I24&lt;=0.5*AB24,J24&lt;=0.5*AB24,K24&lt;=0.5*AB24,L24&lt;=0.5*AB24,M24&lt;=0.5*AB24,N24&lt;=0.5*AB24,O24&lt;=0.5*AB24,P24&lt;=0.5*AB24,Q24&lt;=0.5*AB24,R24&lt;=0.5*AB24,S24&lt;=0.5*AB24,T24&lt;=0.5*AB24,U24&lt;=0.5*AB24,V24&lt;=0.5*AB24,W24&lt;=0.5*AB24),"",IF(AND(D24&lt;=AB24,E24&lt;=AB24,F24&lt;=AB24,G24&lt;=AB24,H24&lt;=AB24,I24&lt;=AB24,J24&lt;=AB24,K24&lt;=AB24,L24&lt;=AB24,M24&lt;=AB24,N24&lt;=AB24,O24&lt;=AB24,P24&lt;=AB24,Q24&lt;=AB24,R24&lt;=AB24,S24&lt;=AB24,T24&lt;=AB24,U24&lt;=AB24,V24&lt;=AB24,W24&lt;=AB24),"","X"))))</f>
        <v/>
      </c>
    </row>
    <row r="25" spans="1:29" ht="14.25" x14ac:dyDescent="0.2">
      <c r="A25" s="49" t="s">
        <v>56</v>
      </c>
      <c r="B25" s="59" t="s">
        <v>21</v>
      </c>
      <c r="C25" s="60" t="s">
        <v>77</v>
      </c>
      <c r="D25" s="167"/>
      <c r="E25" s="168"/>
      <c r="F25" s="168"/>
      <c r="G25" s="168"/>
      <c r="H25" s="169"/>
      <c r="I25" s="168"/>
      <c r="J25" s="168"/>
      <c r="K25" s="168"/>
      <c r="L25" s="168"/>
      <c r="M25" s="168"/>
      <c r="N25" s="168"/>
      <c r="O25" s="168"/>
      <c r="P25" s="168"/>
      <c r="Q25" s="168"/>
      <c r="R25" s="168"/>
      <c r="S25" s="170"/>
      <c r="T25" s="168"/>
      <c r="U25" s="168"/>
      <c r="V25" s="168"/>
      <c r="W25" s="171"/>
      <c r="X25" s="192" t="str">
        <f t="shared" si="6"/>
        <v/>
      </c>
      <c r="Y25" s="193" t="str">
        <f t="shared" si="7"/>
        <v/>
      </c>
      <c r="Z25" s="194" t="str">
        <f t="shared" si="8"/>
        <v/>
      </c>
      <c r="AA25" s="195" t="str">
        <f t="shared" si="9"/>
        <v/>
      </c>
      <c r="AB25" s="196">
        <f>IF($C$1="",0.05,IF($C$1=1,0.2,IF($C$1=2,50,IF($C$1=3,100,0.1))))</f>
        <v>50</v>
      </c>
      <c r="AC25" s="197" t="str">
        <f t="shared" ref="AC25:AC44" si="10">IF(AB25="","",IF(Z25="---","",IF(AND(D25&lt;=0.5*AB25,E25&lt;=0.5*AB25,F25&lt;=0.5*AB25,G25&lt;=0.5*AB25,H25&lt;=0.5*AB25,I25&lt;=0.5*AB25,J25&lt;=0.5*AB25,K25&lt;=0.5*AB25,L25&lt;=0.5*AB25,M25&lt;=0.5*AB25,N25&lt;=0.5*AB25,O25&lt;=0.5*AB25,P25&lt;=0.5*AB25,Q25&lt;=0.5*AB25,R25&lt;=0.5*AB25,S25&lt;=0.5*AB25,T25&lt;=0.5*AB25,U25&lt;=0.5*AB25,V25&lt;=0.5*AB25,W25&lt;=0.5*AB25),"",IF(AND(D25&lt;=AB25,E25&lt;=AB25,F25&lt;=AB25,G25&lt;=AB25,H25&lt;=AB25,I25&lt;=AB25,J25&lt;=AB25,K25&lt;=AB25,L25&lt;=AB25,M25&lt;=AB25,N25&lt;=AB25,O25&lt;=AB25,P25&lt;=AB25,Q25&lt;=AB25,R25&lt;=AB25,S25&lt;=AB25,T25&lt;=AB25,U25&lt;=AB25,V25&lt;=AB25,W25&lt;=AB25),"","X"))))</f>
        <v/>
      </c>
    </row>
    <row r="26" spans="1:29" ht="14.25" x14ac:dyDescent="0.2">
      <c r="A26" s="49" t="s">
        <v>57</v>
      </c>
      <c r="B26" s="59" t="s">
        <v>22</v>
      </c>
      <c r="C26" s="60" t="s">
        <v>77</v>
      </c>
      <c r="D26" s="167"/>
      <c r="E26" s="168"/>
      <c r="F26" s="168"/>
      <c r="G26" s="168"/>
      <c r="H26" s="169"/>
      <c r="I26" s="168"/>
      <c r="J26" s="168"/>
      <c r="K26" s="168"/>
      <c r="L26" s="168"/>
      <c r="M26" s="168"/>
      <c r="N26" s="168"/>
      <c r="O26" s="168"/>
      <c r="P26" s="168"/>
      <c r="Q26" s="168"/>
      <c r="R26" s="168"/>
      <c r="S26" s="170"/>
      <c r="T26" s="168"/>
      <c r="U26" s="168"/>
      <c r="V26" s="168"/>
      <c r="W26" s="171"/>
      <c r="X26" s="192" t="str">
        <f t="shared" si="6"/>
        <v/>
      </c>
      <c r="Y26" s="193" t="str">
        <f t="shared" si="7"/>
        <v/>
      </c>
      <c r="Z26" s="194" t="str">
        <f t="shared" si="8"/>
        <v/>
      </c>
      <c r="AA26" s="195" t="str">
        <f t="shared" si="9"/>
        <v/>
      </c>
      <c r="AB26" s="196">
        <f>IF($C$1="",0.01,IF($C$1=1,0.2,IF($C$1=2,0.2,IF($C$1=3,2.5,0.05))))</f>
        <v>0.2</v>
      </c>
      <c r="AC26" s="197" t="str">
        <f t="shared" si="10"/>
        <v/>
      </c>
    </row>
    <row r="27" spans="1:29" ht="14.25" x14ac:dyDescent="0.2">
      <c r="A27" s="49" t="s">
        <v>58</v>
      </c>
      <c r="B27" s="59" t="s">
        <v>10</v>
      </c>
      <c r="C27" s="60" t="s">
        <v>77</v>
      </c>
      <c r="D27" s="167"/>
      <c r="E27" s="168"/>
      <c r="F27" s="168"/>
      <c r="G27" s="168"/>
      <c r="H27" s="169"/>
      <c r="I27" s="168"/>
      <c r="J27" s="168"/>
      <c r="K27" s="168"/>
      <c r="L27" s="168"/>
      <c r="M27" s="168"/>
      <c r="N27" s="168"/>
      <c r="O27" s="168"/>
      <c r="P27" s="168"/>
      <c r="Q27" s="168"/>
      <c r="R27" s="168"/>
      <c r="S27" s="170"/>
      <c r="T27" s="168"/>
      <c r="U27" s="168"/>
      <c r="V27" s="168"/>
      <c r="W27" s="171"/>
      <c r="X27" s="192" t="str">
        <f t="shared" si="6"/>
        <v/>
      </c>
      <c r="Y27" s="193" t="str">
        <f t="shared" si="7"/>
        <v/>
      </c>
      <c r="Z27" s="194" t="str">
        <f t="shared" si="8"/>
        <v/>
      </c>
      <c r="AA27" s="195" t="str">
        <f t="shared" si="9"/>
        <v/>
      </c>
      <c r="AB27" s="196">
        <f>IF($C$1="",0.02,IF($C$1=1,0.2,IF($C$1=2,1,IF($C$1=3,5,0.05))))</f>
        <v>1</v>
      </c>
      <c r="AC27" s="197" t="str">
        <f t="shared" si="10"/>
        <v/>
      </c>
    </row>
    <row r="28" spans="1:29" ht="14.25" x14ac:dyDescent="0.2">
      <c r="A28" s="49" t="s">
        <v>59</v>
      </c>
      <c r="B28" s="59" t="s">
        <v>11</v>
      </c>
      <c r="C28" s="60" t="s">
        <v>77</v>
      </c>
      <c r="D28" s="167"/>
      <c r="E28" s="168"/>
      <c r="F28" s="168"/>
      <c r="G28" s="168"/>
      <c r="H28" s="169"/>
      <c r="I28" s="168"/>
      <c r="J28" s="168"/>
      <c r="K28" s="168"/>
      <c r="L28" s="168"/>
      <c r="M28" s="168"/>
      <c r="N28" s="168"/>
      <c r="O28" s="168"/>
      <c r="P28" s="168"/>
      <c r="Q28" s="168"/>
      <c r="R28" s="168"/>
      <c r="S28" s="170"/>
      <c r="T28" s="168"/>
      <c r="U28" s="168"/>
      <c r="V28" s="168"/>
      <c r="W28" s="171"/>
      <c r="X28" s="192" t="str">
        <f t="shared" si="6"/>
        <v/>
      </c>
      <c r="Y28" s="193" t="str">
        <f t="shared" si="7"/>
        <v/>
      </c>
      <c r="Z28" s="194" t="str">
        <f t="shared" si="8"/>
        <v/>
      </c>
      <c r="AA28" s="195" t="str">
        <f t="shared" si="9"/>
        <v/>
      </c>
      <c r="AB28" s="196">
        <f>IF($C$1="",0.002,IF($C$1=1,0.05,IF($C$1=2,0.1,IF($C$1=3,0.5,0.004))))</f>
        <v>0.1</v>
      </c>
      <c r="AC28" s="197" t="str">
        <f t="shared" si="10"/>
        <v/>
      </c>
    </row>
    <row r="29" spans="1:29" ht="14.25" x14ac:dyDescent="0.2">
      <c r="A29" s="49" t="s">
        <v>60</v>
      </c>
      <c r="B29" s="59" t="s">
        <v>13</v>
      </c>
      <c r="C29" s="60" t="s">
        <v>77</v>
      </c>
      <c r="D29" s="167"/>
      <c r="E29" s="168"/>
      <c r="F29" s="168"/>
      <c r="G29" s="168"/>
      <c r="H29" s="169"/>
      <c r="I29" s="168"/>
      <c r="J29" s="168"/>
      <c r="K29" s="168"/>
      <c r="L29" s="168"/>
      <c r="M29" s="168"/>
      <c r="N29" s="168"/>
      <c r="O29" s="168"/>
      <c r="P29" s="168"/>
      <c r="Q29" s="168"/>
      <c r="R29" s="168"/>
      <c r="S29" s="170"/>
      <c r="T29" s="168"/>
      <c r="U29" s="168"/>
      <c r="V29" s="168"/>
      <c r="W29" s="171"/>
      <c r="X29" s="192" t="str">
        <f t="shared" si="6"/>
        <v/>
      </c>
      <c r="Y29" s="193" t="str">
        <f t="shared" si="7"/>
        <v/>
      </c>
      <c r="Z29" s="194" t="str">
        <f t="shared" si="8"/>
        <v/>
      </c>
      <c r="AA29" s="195" t="str">
        <f t="shared" si="9"/>
        <v/>
      </c>
      <c r="AB29" s="196">
        <f>IF($C$1="",0.05,IF($C$1=1,1,IF($C$1=2,5,IF($C$1=3,10,0.2))))</f>
        <v>5</v>
      </c>
      <c r="AC29" s="197" t="str">
        <f t="shared" si="10"/>
        <v/>
      </c>
    </row>
    <row r="30" spans="1:29" ht="14.25" x14ac:dyDescent="0.2">
      <c r="A30" s="49" t="s">
        <v>61</v>
      </c>
      <c r="B30" s="59" t="s">
        <v>14</v>
      </c>
      <c r="C30" s="60" t="s">
        <v>77</v>
      </c>
      <c r="D30" s="167"/>
      <c r="E30" s="168"/>
      <c r="F30" s="168"/>
      <c r="G30" s="168"/>
      <c r="H30" s="169"/>
      <c r="I30" s="168"/>
      <c r="J30" s="168"/>
      <c r="K30" s="168"/>
      <c r="L30" s="168"/>
      <c r="M30" s="168"/>
      <c r="N30" s="168"/>
      <c r="O30" s="168"/>
      <c r="P30" s="168"/>
      <c r="Q30" s="168"/>
      <c r="R30" s="168"/>
      <c r="S30" s="170"/>
      <c r="T30" s="168"/>
      <c r="U30" s="168"/>
      <c r="V30" s="168"/>
      <c r="W30" s="171"/>
      <c r="X30" s="192" t="str">
        <f t="shared" si="6"/>
        <v/>
      </c>
      <c r="Y30" s="193" t="str">
        <f t="shared" si="7"/>
        <v/>
      </c>
      <c r="Z30" s="194" t="str">
        <f t="shared" si="8"/>
        <v/>
      </c>
      <c r="AA30" s="195" t="str">
        <f t="shared" si="9"/>
        <v/>
      </c>
      <c r="AB30" s="196">
        <f>IF($C$1="",0.04,IF($C$1=1,0.2,IF($C$1=2,1,IF($C$1=3,4,0.04))))</f>
        <v>1</v>
      </c>
      <c r="AC30" s="197" t="str">
        <f t="shared" si="10"/>
        <v/>
      </c>
    </row>
    <row r="31" spans="1:29" ht="14.25" x14ac:dyDescent="0.2">
      <c r="A31" s="49" t="s">
        <v>62</v>
      </c>
      <c r="B31" s="59" t="s">
        <v>15</v>
      </c>
      <c r="C31" s="60" t="s">
        <v>77</v>
      </c>
      <c r="D31" s="172"/>
      <c r="E31" s="173"/>
      <c r="F31" s="173"/>
      <c r="G31" s="173"/>
      <c r="H31" s="174"/>
      <c r="I31" s="173"/>
      <c r="J31" s="173"/>
      <c r="K31" s="173"/>
      <c r="L31" s="173"/>
      <c r="M31" s="173"/>
      <c r="N31" s="173"/>
      <c r="O31" s="173"/>
      <c r="P31" s="173"/>
      <c r="Q31" s="173"/>
      <c r="R31" s="173"/>
      <c r="S31" s="175"/>
      <c r="T31" s="173"/>
      <c r="U31" s="173"/>
      <c r="V31" s="173"/>
      <c r="W31" s="176"/>
      <c r="X31" s="192" t="str">
        <f t="shared" si="6"/>
        <v/>
      </c>
      <c r="Y31" s="193" t="str">
        <f t="shared" si="7"/>
        <v/>
      </c>
      <c r="Z31" s="194" t="str">
        <f t="shared" si="8"/>
        <v/>
      </c>
      <c r="AA31" s="195" t="str">
        <f t="shared" si="9"/>
        <v/>
      </c>
      <c r="AB31" s="201">
        <f>IF($C$1="",0.0002,IF($C$1=1,0.005,IF($C$1=2,0.02,IF($C$1=3,0.2,0.001))))</f>
        <v>0.02</v>
      </c>
      <c r="AC31" s="197" t="str">
        <f t="shared" si="10"/>
        <v/>
      </c>
    </row>
    <row r="32" spans="1:29" ht="14.25" x14ac:dyDescent="0.2">
      <c r="A32" s="49" t="s">
        <v>63</v>
      </c>
      <c r="B32" s="59" t="s">
        <v>16</v>
      </c>
      <c r="C32" s="60" t="s">
        <v>77</v>
      </c>
      <c r="D32" s="167"/>
      <c r="E32" s="168"/>
      <c r="F32" s="168"/>
      <c r="G32" s="168"/>
      <c r="H32" s="169"/>
      <c r="I32" s="168"/>
      <c r="J32" s="168"/>
      <c r="K32" s="168"/>
      <c r="L32" s="168"/>
      <c r="M32" s="168"/>
      <c r="N32" s="168"/>
      <c r="O32" s="168"/>
      <c r="P32" s="168"/>
      <c r="Q32" s="168"/>
      <c r="R32" s="168"/>
      <c r="S32" s="170"/>
      <c r="T32" s="168"/>
      <c r="U32" s="168"/>
      <c r="V32" s="168"/>
      <c r="W32" s="171"/>
      <c r="X32" s="192" t="str">
        <f t="shared" si="6"/>
        <v/>
      </c>
      <c r="Y32" s="193" t="str">
        <f t="shared" si="7"/>
        <v/>
      </c>
      <c r="Z32" s="194" t="str">
        <f t="shared" si="8"/>
        <v/>
      </c>
      <c r="AA32" s="195" t="str">
        <f t="shared" si="9"/>
        <v/>
      </c>
      <c r="AB32" s="196">
        <f>IF($C$1="",0.1,IF($C$1=1,2,IF($C$1=2,5,IF($C$1=3,20,0.4))))</f>
        <v>5</v>
      </c>
      <c r="AC32" s="197" t="str">
        <f t="shared" si="10"/>
        <v/>
      </c>
    </row>
    <row r="33" spans="1:29" ht="14.25" x14ac:dyDescent="0.2">
      <c r="A33" s="49" t="s">
        <v>64</v>
      </c>
      <c r="B33" s="59" t="s">
        <v>31</v>
      </c>
      <c r="C33" s="60" t="s">
        <v>77</v>
      </c>
      <c r="D33" s="155"/>
      <c r="E33" s="156"/>
      <c r="F33" s="156"/>
      <c r="G33" s="156"/>
      <c r="H33" s="157"/>
      <c r="I33" s="156"/>
      <c r="J33" s="156"/>
      <c r="K33" s="156"/>
      <c r="L33" s="156"/>
      <c r="M33" s="156"/>
      <c r="N33" s="156"/>
      <c r="O33" s="156"/>
      <c r="P33" s="156"/>
      <c r="Q33" s="156"/>
      <c r="R33" s="156"/>
      <c r="S33" s="158"/>
      <c r="T33" s="156"/>
      <c r="U33" s="156"/>
      <c r="V33" s="156"/>
      <c r="W33" s="159"/>
      <c r="X33" s="192" t="str">
        <f t="shared" si="6"/>
        <v/>
      </c>
      <c r="Y33" s="193" t="str">
        <f t="shared" si="7"/>
        <v/>
      </c>
      <c r="Z33" s="194" t="str">
        <f t="shared" si="8"/>
        <v/>
      </c>
      <c r="AA33" s="195" t="str">
        <f t="shared" si="9"/>
        <v/>
      </c>
      <c r="AB33" s="196">
        <f>IF($C$1="",10,IF($C$1=1,1500,IF($C$1=2,1500,IF($C$1=3,2500,80))))</f>
        <v>1500</v>
      </c>
      <c r="AC33" s="197" t="str">
        <f t="shared" si="10"/>
        <v/>
      </c>
    </row>
    <row r="34" spans="1:29" ht="14.25" x14ac:dyDescent="0.2">
      <c r="A34" s="49" t="s">
        <v>65</v>
      </c>
      <c r="B34" s="59" t="s">
        <v>32</v>
      </c>
      <c r="C34" s="60" t="s">
        <v>77</v>
      </c>
      <c r="D34" s="143"/>
      <c r="E34" s="144"/>
      <c r="F34" s="144"/>
      <c r="G34" s="144"/>
      <c r="H34" s="145"/>
      <c r="I34" s="144"/>
      <c r="J34" s="144"/>
      <c r="K34" s="144"/>
      <c r="L34" s="144"/>
      <c r="M34" s="144"/>
      <c r="N34" s="144"/>
      <c r="O34" s="144"/>
      <c r="P34" s="144"/>
      <c r="Q34" s="144"/>
      <c r="R34" s="144"/>
      <c r="S34" s="146"/>
      <c r="T34" s="144"/>
      <c r="U34" s="144"/>
      <c r="V34" s="144"/>
      <c r="W34" s="147"/>
      <c r="X34" s="192" t="str">
        <f t="shared" si="6"/>
        <v/>
      </c>
      <c r="Y34" s="193" t="str">
        <f t="shared" si="7"/>
        <v/>
      </c>
      <c r="Z34" s="194" t="str">
        <f t="shared" si="8"/>
        <v/>
      </c>
      <c r="AA34" s="195" t="str">
        <f t="shared" si="9"/>
        <v/>
      </c>
      <c r="AB34" s="196">
        <f>IF($C$1="",50,IF($C$1=1,2000,IF($C$1=2,2000,IF($C$1=3,5000,100))))</f>
        <v>2000</v>
      </c>
      <c r="AC34" s="197" t="str">
        <f t="shared" si="10"/>
        <v/>
      </c>
    </row>
    <row r="35" spans="1:29" ht="12.75" customHeight="1" x14ac:dyDescent="0.2">
      <c r="A35" s="49" t="s">
        <v>66</v>
      </c>
      <c r="B35" s="59" t="s">
        <v>130</v>
      </c>
      <c r="C35" s="60" t="s">
        <v>77</v>
      </c>
      <c r="D35" s="167"/>
      <c r="E35" s="168"/>
      <c r="F35" s="168"/>
      <c r="G35" s="168"/>
      <c r="H35" s="169"/>
      <c r="I35" s="168"/>
      <c r="J35" s="168"/>
      <c r="K35" s="168"/>
      <c r="L35" s="168"/>
      <c r="M35" s="168"/>
      <c r="N35" s="168"/>
      <c r="O35" s="168"/>
      <c r="P35" s="168"/>
      <c r="Q35" s="168"/>
      <c r="R35" s="168"/>
      <c r="S35" s="170"/>
      <c r="T35" s="168"/>
      <c r="U35" s="168"/>
      <c r="V35" s="168"/>
      <c r="W35" s="171"/>
      <c r="X35" s="192" t="str">
        <f t="shared" si="6"/>
        <v/>
      </c>
      <c r="Y35" s="193" t="str">
        <f t="shared" si="7"/>
        <v/>
      </c>
      <c r="Z35" s="194" t="str">
        <f t="shared" si="8"/>
        <v/>
      </c>
      <c r="AA35" s="195" t="str">
        <f t="shared" si="9"/>
        <v/>
      </c>
      <c r="AB35" s="196">
        <f>IF($C$1="",0.01,IF($C$1=1,0.1,IF($C$1=2,0.5,IF($C$1=3,1,0.01))))</f>
        <v>0.5</v>
      </c>
      <c r="AC35" s="197" t="str">
        <f t="shared" si="10"/>
        <v/>
      </c>
    </row>
    <row r="36" spans="1:29" ht="14.25" x14ac:dyDescent="0.2">
      <c r="A36" s="49" t="s">
        <v>67</v>
      </c>
      <c r="B36" s="59" t="s">
        <v>23</v>
      </c>
      <c r="C36" s="60" t="s">
        <v>77</v>
      </c>
      <c r="D36" s="167"/>
      <c r="E36" s="168"/>
      <c r="F36" s="168"/>
      <c r="G36" s="168"/>
      <c r="H36" s="169"/>
      <c r="I36" s="168"/>
      <c r="J36" s="168"/>
      <c r="K36" s="168"/>
      <c r="L36" s="168"/>
      <c r="M36" s="168"/>
      <c r="N36" s="168"/>
      <c r="O36" s="168"/>
      <c r="P36" s="168"/>
      <c r="Q36" s="168"/>
      <c r="R36" s="168"/>
      <c r="S36" s="170"/>
      <c r="T36" s="168"/>
      <c r="U36" s="168"/>
      <c r="V36" s="168"/>
      <c r="W36" s="171"/>
      <c r="X36" s="192" t="str">
        <f t="shared" si="6"/>
        <v/>
      </c>
      <c r="Y36" s="193" t="str">
        <f t="shared" si="7"/>
        <v/>
      </c>
      <c r="Z36" s="194" t="str">
        <f t="shared" si="8"/>
        <v/>
      </c>
      <c r="AA36" s="195" t="str">
        <f t="shared" si="9"/>
        <v/>
      </c>
      <c r="AB36" s="196">
        <f>IF($C$1="","",IF($C$1=1,5,IF($C$1=2,15,IF($C$1=3,50,1))))</f>
        <v>15</v>
      </c>
      <c r="AC36" s="197" t="str">
        <f t="shared" si="10"/>
        <v/>
      </c>
    </row>
    <row r="37" spans="1:29" ht="14.25" x14ac:dyDescent="0.2">
      <c r="A37" s="49" t="s">
        <v>68</v>
      </c>
      <c r="B37" s="59" t="s">
        <v>24</v>
      </c>
      <c r="C37" s="60" t="s">
        <v>77</v>
      </c>
      <c r="D37" s="167"/>
      <c r="E37" s="168"/>
      <c r="F37" s="168"/>
      <c r="G37" s="168"/>
      <c r="H37" s="169"/>
      <c r="I37" s="168"/>
      <c r="J37" s="168"/>
      <c r="K37" s="168"/>
      <c r="L37" s="168"/>
      <c r="M37" s="168"/>
      <c r="N37" s="168"/>
      <c r="O37" s="168"/>
      <c r="P37" s="168"/>
      <c r="Q37" s="168"/>
      <c r="R37" s="168"/>
      <c r="S37" s="170"/>
      <c r="T37" s="168"/>
      <c r="U37" s="168"/>
      <c r="V37" s="168"/>
      <c r="W37" s="171"/>
      <c r="X37" s="192" t="str">
        <f t="shared" si="6"/>
        <v/>
      </c>
      <c r="Y37" s="193" t="str">
        <f t="shared" si="7"/>
        <v/>
      </c>
      <c r="Z37" s="194" t="str">
        <f t="shared" si="8"/>
        <v/>
      </c>
      <c r="AA37" s="195" t="str">
        <f t="shared" si="9"/>
        <v/>
      </c>
      <c r="AB37" s="196">
        <f>IF($C$1="","",IF($C$1=1,5,IF($C$1=2,10,IF($C$1=3,30,2))))</f>
        <v>10</v>
      </c>
      <c r="AC37" s="197" t="str">
        <f t="shared" si="10"/>
        <v/>
      </c>
    </row>
    <row r="38" spans="1:29" ht="14.25" x14ac:dyDescent="0.2">
      <c r="A38" s="49" t="s">
        <v>69</v>
      </c>
      <c r="B38" s="59" t="s">
        <v>25</v>
      </c>
      <c r="C38" s="60" t="s">
        <v>77</v>
      </c>
      <c r="D38" s="167"/>
      <c r="E38" s="168"/>
      <c r="F38" s="168"/>
      <c r="G38" s="168"/>
      <c r="H38" s="169"/>
      <c r="I38" s="168"/>
      <c r="J38" s="168"/>
      <c r="K38" s="168"/>
      <c r="L38" s="168"/>
      <c r="M38" s="168"/>
      <c r="N38" s="168"/>
      <c r="O38" s="168"/>
      <c r="P38" s="168"/>
      <c r="Q38" s="168"/>
      <c r="R38" s="168"/>
      <c r="S38" s="170"/>
      <c r="T38" s="168"/>
      <c r="U38" s="168"/>
      <c r="V38" s="168"/>
      <c r="W38" s="171"/>
      <c r="X38" s="192" t="str">
        <f t="shared" si="6"/>
        <v/>
      </c>
      <c r="Y38" s="193" t="str">
        <f t="shared" si="7"/>
        <v/>
      </c>
      <c r="Z38" s="194" t="str">
        <f t="shared" si="8"/>
        <v/>
      </c>
      <c r="AA38" s="195" t="str">
        <f t="shared" si="9"/>
        <v/>
      </c>
      <c r="AB38" s="196">
        <f>IF($C$1="","",IF($C$1=1,0.3,IF($C$1=2,1,IF($C$1=3,7,0.05))))</f>
        <v>1</v>
      </c>
      <c r="AC38" s="197" t="str">
        <f t="shared" si="10"/>
        <v/>
      </c>
    </row>
    <row r="39" spans="1:29" ht="14.25" x14ac:dyDescent="0.2">
      <c r="A39" s="49" t="s">
        <v>70</v>
      </c>
      <c r="B39" s="59" t="s">
        <v>26</v>
      </c>
      <c r="C39" s="60" t="s">
        <v>77</v>
      </c>
      <c r="D39" s="167"/>
      <c r="E39" s="168"/>
      <c r="F39" s="168"/>
      <c r="G39" s="168"/>
      <c r="H39" s="169"/>
      <c r="I39" s="168"/>
      <c r="J39" s="168"/>
      <c r="K39" s="168"/>
      <c r="L39" s="168"/>
      <c r="M39" s="168"/>
      <c r="N39" s="168"/>
      <c r="O39" s="168"/>
      <c r="P39" s="168"/>
      <c r="Q39" s="168"/>
      <c r="R39" s="168"/>
      <c r="S39" s="170"/>
      <c r="T39" s="168"/>
      <c r="U39" s="168"/>
      <c r="V39" s="168"/>
      <c r="W39" s="171"/>
      <c r="X39" s="192" t="str">
        <f t="shared" si="6"/>
        <v/>
      </c>
      <c r="Y39" s="193" t="str">
        <f t="shared" si="7"/>
        <v/>
      </c>
      <c r="Z39" s="194" t="str">
        <f t="shared" si="8"/>
        <v/>
      </c>
      <c r="AA39" s="195" t="str">
        <f t="shared" si="9"/>
        <v/>
      </c>
      <c r="AB39" s="196">
        <f>IF($C$1="","",IF($C$1=1,0.3,IF($C$1=2,1,IF($C$1=3,3,0.05))))</f>
        <v>1</v>
      </c>
      <c r="AC39" s="197" t="str">
        <f t="shared" si="10"/>
        <v/>
      </c>
    </row>
    <row r="40" spans="1:29" ht="14.25" x14ac:dyDescent="0.2">
      <c r="A40" s="49" t="s">
        <v>102</v>
      </c>
      <c r="B40" s="59" t="s">
        <v>29</v>
      </c>
      <c r="C40" s="60" t="s">
        <v>77</v>
      </c>
      <c r="D40" s="167"/>
      <c r="E40" s="168"/>
      <c r="F40" s="168"/>
      <c r="G40" s="168"/>
      <c r="H40" s="169"/>
      <c r="I40" s="168"/>
      <c r="J40" s="168"/>
      <c r="K40" s="168"/>
      <c r="L40" s="168"/>
      <c r="M40" s="168"/>
      <c r="N40" s="168"/>
      <c r="O40" s="168"/>
      <c r="P40" s="168"/>
      <c r="Q40" s="168"/>
      <c r="R40" s="168"/>
      <c r="S40" s="170"/>
      <c r="T40" s="168"/>
      <c r="U40" s="168"/>
      <c r="V40" s="168"/>
      <c r="W40" s="171"/>
      <c r="X40" s="192" t="str">
        <f t="shared" si="6"/>
        <v/>
      </c>
      <c r="Y40" s="193" t="str">
        <f t="shared" si="7"/>
        <v/>
      </c>
      <c r="Z40" s="194" t="str">
        <f t="shared" si="8"/>
        <v/>
      </c>
      <c r="AA40" s="195" t="str">
        <f t="shared" si="9"/>
        <v/>
      </c>
      <c r="AB40" s="196">
        <f>IF($C$1="","",IF($C$1=1,0.03,IF($C$1=2,0.07,IF($C$1=3,0.5,0.006))))</f>
        <v>7.0000000000000007E-2</v>
      </c>
      <c r="AC40" s="197" t="str">
        <f t="shared" si="10"/>
        <v/>
      </c>
    </row>
    <row r="41" spans="1:29" ht="18.75" x14ac:dyDescent="0.2">
      <c r="A41" s="49" t="s">
        <v>103</v>
      </c>
      <c r="B41" s="59" t="s">
        <v>131</v>
      </c>
      <c r="C41" s="60" t="s">
        <v>77</v>
      </c>
      <c r="D41" s="167"/>
      <c r="E41" s="168"/>
      <c r="F41" s="168"/>
      <c r="G41" s="168"/>
      <c r="H41" s="169"/>
      <c r="I41" s="168"/>
      <c r="J41" s="168"/>
      <c r="K41" s="168"/>
      <c r="L41" s="168"/>
      <c r="M41" s="168"/>
      <c r="N41" s="168"/>
      <c r="O41" s="168"/>
      <c r="P41" s="168"/>
      <c r="Q41" s="168"/>
      <c r="R41" s="168"/>
      <c r="S41" s="170"/>
      <c r="T41" s="168"/>
      <c r="U41" s="168"/>
      <c r="V41" s="168"/>
      <c r="W41" s="171"/>
      <c r="X41" s="192" t="str">
        <f t="shared" si="6"/>
        <v/>
      </c>
      <c r="Y41" s="193" t="str">
        <f t="shared" si="7"/>
        <v/>
      </c>
      <c r="Z41" s="194" t="str">
        <f t="shared" si="8"/>
        <v/>
      </c>
      <c r="AA41" s="195" t="str">
        <f t="shared" si="9"/>
        <v/>
      </c>
      <c r="AB41" s="196">
        <f>IF($C$1="","",IF($C$1=1,0.12,IF($C$1=2,0.15,IF($C$1=3,1,0.1))))</f>
        <v>0.15</v>
      </c>
      <c r="AC41" s="197" t="str">
        <f t="shared" si="10"/>
        <v/>
      </c>
    </row>
    <row r="42" spans="1:29" ht="14.25" x14ac:dyDescent="0.2">
      <c r="A42" s="49" t="s">
        <v>71</v>
      </c>
      <c r="B42" s="59" t="s">
        <v>27</v>
      </c>
      <c r="C42" s="60" t="s">
        <v>77</v>
      </c>
      <c r="D42" s="167"/>
      <c r="E42" s="168"/>
      <c r="F42" s="168"/>
      <c r="G42" s="168"/>
      <c r="H42" s="169"/>
      <c r="I42" s="168"/>
      <c r="J42" s="168"/>
      <c r="K42" s="168"/>
      <c r="L42" s="168"/>
      <c r="M42" s="168"/>
      <c r="N42" s="168"/>
      <c r="O42" s="168"/>
      <c r="P42" s="168"/>
      <c r="Q42" s="168"/>
      <c r="R42" s="168"/>
      <c r="S42" s="170"/>
      <c r="T42" s="168"/>
      <c r="U42" s="168"/>
      <c r="V42" s="168"/>
      <c r="W42" s="171"/>
      <c r="X42" s="192" t="str">
        <f t="shared" si="6"/>
        <v/>
      </c>
      <c r="Y42" s="193" t="str">
        <f t="shared" si="7"/>
        <v/>
      </c>
      <c r="Z42" s="194" t="str">
        <f t="shared" si="8"/>
        <v/>
      </c>
      <c r="AA42" s="195" t="str">
        <f t="shared" si="9"/>
        <v/>
      </c>
      <c r="AB42" s="196">
        <f>IF($C$1="","",IF($C$1=1,0.03,IF($C$1=2,0.05,IF($C$1=3,0.7,0.01))))</f>
        <v>0.05</v>
      </c>
      <c r="AC42" s="197" t="str">
        <f t="shared" si="10"/>
        <v/>
      </c>
    </row>
    <row r="43" spans="1:29" ht="30.75" customHeight="1" x14ac:dyDescent="0.2">
      <c r="A43" s="49" t="s">
        <v>72</v>
      </c>
      <c r="B43" s="59" t="s">
        <v>30</v>
      </c>
      <c r="C43" s="60" t="s">
        <v>77</v>
      </c>
      <c r="D43" s="143"/>
      <c r="E43" s="144"/>
      <c r="F43" s="144"/>
      <c r="G43" s="144"/>
      <c r="H43" s="145"/>
      <c r="I43" s="144"/>
      <c r="J43" s="144"/>
      <c r="K43" s="144"/>
      <c r="L43" s="144"/>
      <c r="M43" s="144"/>
      <c r="N43" s="144"/>
      <c r="O43" s="144"/>
      <c r="P43" s="144"/>
      <c r="Q43" s="144"/>
      <c r="R43" s="144"/>
      <c r="S43" s="146"/>
      <c r="T43" s="144"/>
      <c r="U43" s="144"/>
      <c r="V43" s="144"/>
      <c r="W43" s="147"/>
      <c r="X43" s="192" t="str">
        <f t="shared" si="6"/>
        <v/>
      </c>
      <c r="Y43" s="193" t="str">
        <f t="shared" si="7"/>
        <v/>
      </c>
      <c r="Z43" s="194" t="str">
        <f t="shared" si="8"/>
        <v/>
      </c>
      <c r="AA43" s="195" t="str">
        <f t="shared" si="9"/>
        <v/>
      </c>
      <c r="AB43" s="106">
        <f>IF($C$1="",400,IF($C$1=1,3000,IF($C$1=2,6000,IF($C$1=3,10000,400))))</f>
        <v>6000</v>
      </c>
      <c r="AC43" s="197" t="str">
        <f t="shared" si="10"/>
        <v/>
      </c>
    </row>
    <row r="44" spans="1:29" ht="18" customHeight="1" thickBot="1" x14ac:dyDescent="0.25">
      <c r="A44" s="63" t="s">
        <v>73</v>
      </c>
      <c r="B44" s="64" t="s">
        <v>28</v>
      </c>
      <c r="C44" s="75" t="s">
        <v>78</v>
      </c>
      <c r="D44" s="160"/>
      <c r="E44" s="161"/>
      <c r="F44" s="161"/>
      <c r="G44" s="161"/>
      <c r="H44" s="162"/>
      <c r="I44" s="161"/>
      <c r="J44" s="161"/>
      <c r="K44" s="161"/>
      <c r="L44" s="161"/>
      <c r="M44" s="161"/>
      <c r="N44" s="161"/>
      <c r="O44" s="161"/>
      <c r="P44" s="161"/>
      <c r="Q44" s="161"/>
      <c r="R44" s="161"/>
      <c r="S44" s="163"/>
      <c r="T44" s="161"/>
      <c r="U44" s="161"/>
      <c r="V44" s="161"/>
      <c r="W44" s="164"/>
      <c r="X44" s="186" t="str">
        <f t="shared" si="6"/>
        <v/>
      </c>
      <c r="Y44" s="187" t="str">
        <f t="shared" si="7"/>
        <v/>
      </c>
      <c r="Z44" s="194" t="str">
        <f t="shared" si="8"/>
        <v/>
      </c>
      <c r="AA44" s="195" t="str">
        <f t="shared" si="9"/>
        <v>---</v>
      </c>
      <c r="AB44" s="200" t="str">
        <f>IF($C$1="","",IF($C$1=1,"",IF($C$1=2,"",IF($C$1=3,"",""))))</f>
        <v/>
      </c>
      <c r="AC44" s="191" t="str">
        <f t="shared" si="10"/>
        <v/>
      </c>
    </row>
    <row r="45" spans="1:29" ht="15.75" customHeight="1" x14ac:dyDescent="0.2">
      <c r="A45" s="76">
        <v>4</v>
      </c>
      <c r="B45" s="77" t="s">
        <v>79</v>
      </c>
      <c r="C45" s="78"/>
      <c r="D45" s="177"/>
      <c r="E45" s="177"/>
      <c r="F45" s="177"/>
      <c r="G45" s="177"/>
      <c r="H45" s="177"/>
      <c r="I45" s="177"/>
      <c r="J45" s="177"/>
      <c r="K45" s="177"/>
      <c r="L45" s="177"/>
      <c r="M45" s="177"/>
      <c r="N45" s="177"/>
      <c r="O45" s="177"/>
      <c r="P45" s="177"/>
      <c r="Q45" s="177"/>
      <c r="R45" s="177"/>
      <c r="S45" s="177"/>
      <c r="T45" s="177"/>
      <c r="U45" s="177"/>
      <c r="V45" s="177"/>
      <c r="W45" s="177"/>
      <c r="X45" s="138"/>
      <c r="Y45" s="178"/>
      <c r="Z45" s="179"/>
      <c r="AA45" s="140"/>
      <c r="AB45" s="141"/>
      <c r="AC45" s="166"/>
    </row>
    <row r="46" spans="1:29" ht="15.75" customHeight="1" x14ac:dyDescent="0.2">
      <c r="A46" s="49" t="s">
        <v>88</v>
      </c>
      <c r="B46" s="59" t="s">
        <v>132</v>
      </c>
      <c r="C46" s="60" t="s">
        <v>87</v>
      </c>
      <c r="D46" s="143"/>
      <c r="E46" s="144"/>
      <c r="F46" s="144"/>
      <c r="G46" s="144"/>
      <c r="H46" s="145"/>
      <c r="I46" s="144"/>
      <c r="J46" s="144"/>
      <c r="K46" s="144"/>
      <c r="L46" s="144"/>
      <c r="M46" s="144"/>
      <c r="N46" s="144"/>
      <c r="O46" s="144"/>
      <c r="P46" s="144"/>
      <c r="Q46" s="144"/>
      <c r="R46" s="144"/>
      <c r="S46" s="146"/>
      <c r="T46" s="144"/>
      <c r="U46" s="144"/>
      <c r="V46" s="144"/>
      <c r="W46" s="147"/>
      <c r="X46" s="192" t="str">
        <f t="shared" ref="X46:X53" si="11">IF(SUM(D46:W46)=0,"",0.2*AVERAGE(D46:W46))</f>
        <v/>
      </c>
      <c r="Y46" s="193" t="str">
        <f t="shared" ref="Y46:Y53" si="12">IF(COUNT(D46:W46)&lt;2,"",STDEV(D46:W46))</f>
        <v/>
      </c>
      <c r="Z46" s="194" t="str">
        <f t="shared" ref="Z46:Z53" si="13">IF(SUM(D46:W46)=0,"",IF(ISTEXT(AB46),"kein ZW",IF(MAX(D46:W46)&lt;(0.25*AB46),"&lt; 25% ZW",IF(Y46="","",IF(Y46&gt;X46,"inhomogen","homogen")))))</f>
        <v/>
      </c>
      <c r="AA46" s="148"/>
      <c r="AB46" s="149">
        <v>6000</v>
      </c>
      <c r="AC46" s="197" t="str">
        <f>IF(AB46="","",IF(Z46="---","",IF(AND(D46&lt;=0.5*AB46,E46&lt;=0.5*AB46,F46&lt;=0.5*AB46,G46&lt;=0.5*AB46,H46&lt;=0.5*AB46,I46&lt;=0.5*AB46,J46&lt;=0.5*AB46,K46&lt;=0.5*AB46,L46&lt;=0.5*AB46,M46&lt;=0.5*AB46,N46&lt;=0.5*AB46,O46&lt;=0.5*AB46,P46&lt;=0.5*AB46,Q46&lt;=0.5*AB46,R46&lt;=0.5*AB46,S46&lt;=0.5*AB46,T46&lt;=0.5*AB46,U46&lt;=0.5*AB46,V46&lt;=0.5*AB46,W46&lt;=0.5*AB46),"",IF(AND(D46&lt;=AB46,E46&lt;=AB46,F46&lt;=AB46,G46&lt;=AB46,H46&lt;=AB46,I46&lt;=AB46,J46&lt;=AB46,K46&lt;=AB46,L46&lt;=AB46,M46&lt;=AB46,N46&lt;=AB46,O46&lt;=AB46,P46&lt;=AB46,Q46&lt;=AB46,R46&lt;=AB46,S46&lt;=AB46,T46&lt;=AB46,U46&lt;=AB46,V46&lt;=AB46,W46&lt;=AB46),"","X"))))</f>
        <v/>
      </c>
    </row>
    <row r="47" spans="1:29" ht="16.5" customHeight="1" x14ac:dyDescent="0.2">
      <c r="A47" s="49" t="s">
        <v>89</v>
      </c>
      <c r="B47" s="59" t="s">
        <v>86</v>
      </c>
      <c r="C47" s="60" t="s">
        <v>137</v>
      </c>
      <c r="D47" s="143"/>
      <c r="E47" s="144"/>
      <c r="F47" s="144"/>
      <c r="G47" s="144"/>
      <c r="H47" s="145"/>
      <c r="I47" s="144"/>
      <c r="J47" s="144"/>
      <c r="K47" s="144"/>
      <c r="L47" s="144"/>
      <c r="M47" s="144"/>
      <c r="N47" s="144"/>
      <c r="O47" s="144"/>
      <c r="P47" s="144"/>
      <c r="Q47" s="144"/>
      <c r="R47" s="144"/>
      <c r="S47" s="146"/>
      <c r="T47" s="144"/>
      <c r="U47" s="144"/>
      <c r="V47" s="144"/>
      <c r="W47" s="147"/>
      <c r="X47" s="192" t="str">
        <f t="shared" si="11"/>
        <v/>
      </c>
      <c r="Y47" s="193" t="str">
        <f t="shared" si="12"/>
        <v/>
      </c>
      <c r="Z47" s="194" t="str">
        <f t="shared" si="13"/>
        <v/>
      </c>
      <c r="AA47" s="148"/>
      <c r="AB47" s="149">
        <v>5</v>
      </c>
      <c r="AC47" s="197" t="str">
        <f t="shared" ref="AC47:AC53" si="14">IF(AB47="","",IF(Z47="---","",IF(AND(D47&lt;=0.5*AB47,E47&lt;=0.5*AB47,F47&lt;=0.5*AB47,G47&lt;=0.5*AB47,H47&lt;=0.5*AB47,I47&lt;=0.5*AB47,J47&lt;=0.5*AB47,K47&lt;=0.5*AB47,L47&lt;=0.5*AB47,M47&lt;=0.5*AB47,N47&lt;=0.5*AB47,O47&lt;=0.5*AB47,P47&lt;=0.5*AB47,Q47&lt;=0.5*AB47,R47&lt;=0.5*AB47,S47&lt;=0.5*AB47,T47&lt;=0.5*AB47,U47&lt;=0.5*AB47,V47&lt;=0.5*AB47,W47&lt;=0.5*AB47),"",IF(AND(D47&lt;=AB47,E47&lt;=AB47,F47&lt;=AB47,G47&lt;=AB47,H47&lt;=AB47,I47&lt;=AB47,J47&lt;=AB47,K47&lt;=AB47,L47&lt;=AB47,M47&lt;=AB47,N47&lt;=AB47,O47&lt;=AB47,P47&lt;=AB47,Q47&lt;=AB47,R47&lt;=AB47,S47&lt;=AB47,T47&lt;=AB47,U47&lt;=AB47,V47&lt;=AB47,W47&lt;=AB47),"","X"))))</f>
        <v/>
      </c>
    </row>
    <row r="48" spans="1:29" ht="14.25" x14ac:dyDescent="0.2">
      <c r="A48" s="49" t="s">
        <v>90</v>
      </c>
      <c r="B48" s="59" t="s">
        <v>85</v>
      </c>
      <c r="C48" s="60" t="s">
        <v>75</v>
      </c>
      <c r="D48" s="143"/>
      <c r="E48" s="144"/>
      <c r="F48" s="144"/>
      <c r="G48" s="144"/>
      <c r="H48" s="145"/>
      <c r="I48" s="144"/>
      <c r="J48" s="144"/>
      <c r="K48" s="144"/>
      <c r="L48" s="144"/>
      <c r="M48" s="144"/>
      <c r="N48" s="144"/>
      <c r="O48" s="144"/>
      <c r="P48" s="144"/>
      <c r="Q48" s="144"/>
      <c r="R48" s="144"/>
      <c r="S48" s="146"/>
      <c r="T48" s="144"/>
      <c r="U48" s="144"/>
      <c r="V48" s="144"/>
      <c r="W48" s="147"/>
      <c r="X48" s="192" t="str">
        <f t="shared" si="11"/>
        <v/>
      </c>
      <c r="Y48" s="193" t="str">
        <f t="shared" si="12"/>
        <v/>
      </c>
      <c r="Z48" s="194" t="str">
        <f t="shared" si="13"/>
        <v/>
      </c>
      <c r="AA48" s="148"/>
      <c r="AB48" s="196">
        <f>IF($C$1="","",IF($C$1=1,5,IF($C$1=2,5,IF($C$1=3,5,2))))</f>
        <v>5</v>
      </c>
      <c r="AC48" s="197" t="str">
        <f t="shared" si="14"/>
        <v/>
      </c>
    </row>
    <row r="49" spans="1:29" ht="14.25" x14ac:dyDescent="0.2">
      <c r="A49" s="49" t="s">
        <v>91</v>
      </c>
      <c r="B49" s="83" t="s">
        <v>80</v>
      </c>
      <c r="C49" s="84" t="s">
        <v>81</v>
      </c>
      <c r="D49" s="143"/>
      <c r="E49" s="144"/>
      <c r="F49" s="144"/>
      <c r="G49" s="144"/>
      <c r="H49" s="145"/>
      <c r="I49" s="144"/>
      <c r="J49" s="144"/>
      <c r="K49" s="144"/>
      <c r="L49" s="144"/>
      <c r="M49" s="144"/>
      <c r="N49" s="144"/>
      <c r="O49" s="144"/>
      <c r="P49" s="144"/>
      <c r="Q49" s="144"/>
      <c r="R49" s="144"/>
      <c r="S49" s="146"/>
      <c r="T49" s="144"/>
      <c r="U49" s="144"/>
      <c r="V49" s="144"/>
      <c r="W49" s="147"/>
      <c r="X49" s="192" t="str">
        <f t="shared" si="11"/>
        <v/>
      </c>
      <c r="Y49" s="193" t="str">
        <f t="shared" si="12"/>
        <v/>
      </c>
      <c r="Z49" s="194" t="str">
        <f t="shared" si="13"/>
        <v/>
      </c>
      <c r="AA49" s="148"/>
      <c r="AB49" s="196">
        <f>IF($C$1="","",IF($C$1=1,1000,IF($C$1=2,2000,IF($C$1=3,2000,200))))</f>
        <v>2000</v>
      </c>
      <c r="AC49" s="197" t="str">
        <f t="shared" si="14"/>
        <v/>
      </c>
    </row>
    <row r="50" spans="1:29" ht="14.25" x14ac:dyDescent="0.2">
      <c r="A50" s="49" t="s">
        <v>92</v>
      </c>
      <c r="B50" s="83" t="s">
        <v>106</v>
      </c>
      <c r="C50" s="84" t="s">
        <v>107</v>
      </c>
      <c r="D50" s="143"/>
      <c r="E50" s="144"/>
      <c r="F50" s="144"/>
      <c r="G50" s="144"/>
      <c r="H50" s="145"/>
      <c r="I50" s="144"/>
      <c r="J50" s="144"/>
      <c r="K50" s="144"/>
      <c r="L50" s="144"/>
      <c r="M50" s="144"/>
      <c r="N50" s="144"/>
      <c r="O50" s="144"/>
      <c r="P50" s="144"/>
      <c r="Q50" s="144"/>
      <c r="R50" s="144"/>
      <c r="S50" s="146"/>
      <c r="T50" s="144"/>
      <c r="U50" s="144"/>
      <c r="V50" s="144"/>
      <c r="W50" s="147"/>
      <c r="X50" s="192" t="str">
        <f t="shared" si="11"/>
        <v/>
      </c>
      <c r="Y50" s="193" t="str">
        <f t="shared" si="12"/>
        <v/>
      </c>
      <c r="Z50" s="194" t="str">
        <f t="shared" si="13"/>
        <v/>
      </c>
      <c r="AA50" s="148"/>
      <c r="AB50" s="196">
        <f>IF($C$1="","",IF($C$1=1,"",IF($C$1=2,20,IF($C$1=3,20,""))))</f>
        <v>20</v>
      </c>
      <c r="AC50" s="197" t="str">
        <f t="shared" si="14"/>
        <v/>
      </c>
    </row>
    <row r="51" spans="1:29" ht="14.25" x14ac:dyDescent="0.2">
      <c r="A51" s="49" t="s">
        <v>93</v>
      </c>
      <c r="B51" s="83" t="s">
        <v>82</v>
      </c>
      <c r="C51" s="60" t="s">
        <v>83</v>
      </c>
      <c r="D51" s="143"/>
      <c r="E51" s="144"/>
      <c r="F51" s="144"/>
      <c r="G51" s="144"/>
      <c r="H51" s="145"/>
      <c r="I51" s="144"/>
      <c r="J51" s="144"/>
      <c r="K51" s="144"/>
      <c r="L51" s="144"/>
      <c r="M51" s="144"/>
      <c r="N51" s="144"/>
      <c r="O51" s="144"/>
      <c r="P51" s="144"/>
      <c r="Q51" s="144"/>
      <c r="R51" s="144"/>
      <c r="S51" s="146"/>
      <c r="T51" s="144"/>
      <c r="U51" s="144"/>
      <c r="V51" s="144"/>
      <c r="W51" s="147"/>
      <c r="X51" s="192" t="str">
        <f t="shared" si="11"/>
        <v/>
      </c>
      <c r="Y51" s="193" t="str">
        <f t="shared" si="12"/>
        <v/>
      </c>
      <c r="Z51" s="194" t="str">
        <f t="shared" si="13"/>
        <v/>
      </c>
      <c r="AA51" s="148"/>
      <c r="AB51" s="196">
        <f>IF($C$1="","",IF($C$1=1,25,IF($C$1=2,50,IF($C$1=3,50,2))))</f>
        <v>50</v>
      </c>
      <c r="AC51" s="197" t="str">
        <f t="shared" si="14"/>
        <v/>
      </c>
    </row>
    <row r="52" spans="1:29" ht="12.75" customHeight="1" x14ac:dyDescent="0.2">
      <c r="A52" s="49" t="s">
        <v>94</v>
      </c>
      <c r="B52" s="85" t="s">
        <v>84</v>
      </c>
      <c r="C52" s="60" t="s">
        <v>83</v>
      </c>
      <c r="D52" s="143"/>
      <c r="E52" s="144"/>
      <c r="F52" s="144"/>
      <c r="G52" s="144"/>
      <c r="H52" s="145"/>
      <c r="I52" s="144"/>
      <c r="J52" s="144"/>
      <c r="K52" s="144"/>
      <c r="L52" s="144"/>
      <c r="M52" s="144"/>
      <c r="N52" s="144"/>
      <c r="O52" s="144"/>
      <c r="P52" s="144"/>
      <c r="Q52" s="144"/>
      <c r="R52" s="144"/>
      <c r="S52" s="146"/>
      <c r="T52" s="144"/>
      <c r="U52" s="144"/>
      <c r="V52" s="144"/>
      <c r="W52" s="147"/>
      <c r="X52" s="192" t="str">
        <f t="shared" si="11"/>
        <v/>
      </c>
      <c r="Y52" s="193" t="str">
        <f t="shared" si="12"/>
        <v/>
      </c>
      <c r="Z52" s="194" t="str">
        <f t="shared" si="13"/>
        <v/>
      </c>
      <c r="AA52" s="148"/>
      <c r="AB52" s="196">
        <f>IF($C$1="","",IF($C$1=1,1,IF($C$1=2,5,IF($C$1=3,5,0.2))))</f>
        <v>5</v>
      </c>
      <c r="AC52" s="197" t="str">
        <f t="shared" si="14"/>
        <v/>
      </c>
    </row>
    <row r="53" spans="1:29" ht="30.75" customHeight="1" thickBot="1" x14ac:dyDescent="0.25">
      <c r="A53" s="63" t="s">
        <v>105</v>
      </c>
      <c r="B53" s="86" t="s">
        <v>134</v>
      </c>
      <c r="C53" s="75" t="s">
        <v>83</v>
      </c>
      <c r="D53" s="160"/>
      <c r="E53" s="161"/>
      <c r="F53" s="161"/>
      <c r="G53" s="161"/>
      <c r="H53" s="162"/>
      <c r="I53" s="161"/>
      <c r="J53" s="161"/>
      <c r="K53" s="161"/>
      <c r="L53" s="161"/>
      <c r="M53" s="161"/>
      <c r="N53" s="161"/>
      <c r="O53" s="161"/>
      <c r="P53" s="161"/>
      <c r="Q53" s="161"/>
      <c r="R53" s="161"/>
      <c r="S53" s="163"/>
      <c r="T53" s="161"/>
      <c r="U53" s="161"/>
      <c r="V53" s="161"/>
      <c r="W53" s="164"/>
      <c r="X53" s="186" t="str">
        <f t="shared" si="11"/>
        <v/>
      </c>
      <c r="Y53" s="187" t="str">
        <f t="shared" si="12"/>
        <v/>
      </c>
      <c r="Z53" s="202" t="str">
        <f t="shared" si="13"/>
        <v/>
      </c>
      <c r="AA53" s="135"/>
      <c r="AB53" s="104">
        <f>IF($C$1="","",IF($C$1=1,5,IF($C$1=2,20,IF($C$1=3,20,1))))</f>
        <v>20</v>
      </c>
      <c r="AC53" s="191" t="str">
        <f t="shared" si="14"/>
        <v/>
      </c>
    </row>
    <row r="54" spans="1:29" ht="45.75" customHeight="1" x14ac:dyDescent="0.2">
      <c r="F54" s="3"/>
      <c r="G54" s="3"/>
      <c r="H54" s="3"/>
      <c r="I54" s="4"/>
      <c r="J54" s="4"/>
      <c r="K54" s="6" t="s">
        <v>97</v>
      </c>
      <c r="L54" s="5"/>
      <c r="M54" s="5"/>
      <c r="N54" s="5"/>
      <c r="O54" s="5"/>
      <c r="P54" s="5"/>
      <c r="Q54" s="4"/>
      <c r="R54" s="6"/>
      <c r="S54" s="6"/>
      <c r="T54" s="6"/>
      <c r="U54" s="3"/>
      <c r="V54" s="3"/>
      <c r="W54" s="3"/>
      <c r="X54" s="3"/>
      <c r="Y54" s="3"/>
      <c r="Z54" s="2"/>
      <c r="AA54" s="3"/>
      <c r="AB54" s="3"/>
    </row>
  </sheetData>
  <sheetProtection sheet="1" objects="1" scenarios="1" selectLockedCells="1"/>
  <mergeCells count="30">
    <mergeCell ref="A1:B1"/>
    <mergeCell ref="D1:W1"/>
    <mergeCell ref="AC1:AC4"/>
    <mergeCell ref="B2:C2"/>
    <mergeCell ref="C3:C4"/>
    <mergeCell ref="Y2:Y4"/>
    <mergeCell ref="D2:D4"/>
    <mergeCell ref="E2:E4"/>
    <mergeCell ref="F2:F4"/>
    <mergeCell ref="G2:G4"/>
    <mergeCell ref="V2:V4"/>
    <mergeCell ref="L2:L4"/>
    <mergeCell ref="X2:X4"/>
    <mergeCell ref="W2:W4"/>
    <mergeCell ref="X1:Z1"/>
    <mergeCell ref="AA1:AB3"/>
    <mergeCell ref="Z2:Z4"/>
    <mergeCell ref="P2:P4"/>
    <mergeCell ref="T2:T4"/>
    <mergeCell ref="M2:M4"/>
    <mergeCell ref="N2:N4"/>
    <mergeCell ref="O2:O4"/>
    <mergeCell ref="R2:R4"/>
    <mergeCell ref="S2:S4"/>
    <mergeCell ref="U2:U4"/>
    <mergeCell ref="H2:H4"/>
    <mergeCell ref="I2:I4"/>
    <mergeCell ref="J2:J4"/>
    <mergeCell ref="K2:K4"/>
    <mergeCell ref="Q2:Q4"/>
  </mergeCells>
  <phoneticPr fontId="0" type="noConversion"/>
  <pageMargins left="0.59055118110236227" right="0.78740157480314965" top="1.3385826771653544" bottom="0.31496062992125984" header="0.51181102362204722" footer="0.19685039370078741"/>
  <pageSetup paperSize="8" scale="84" orientation="landscape" r:id="rId1"/>
  <headerFooter alignWithMargins="0">
    <oddHeader>&amp;L&amp;"Arial,Fett"&amp;16&amp;UMuster&amp;14&amp;U zur Bestimmung der Werte zur grundlegenden Charakterisierung (WgC) &amp;12aus den Analyseberichten (Auswertungsübersicht)&amp;R&amp;G</oddHeader>
    <oddFooter>&amp;R&amp;8DET S B 12.00 / 07/2016</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3:H111"/>
  <sheetViews>
    <sheetView view="pageLayout" topLeftCell="A16" zoomScaleNormal="100" workbookViewId="0">
      <selection activeCell="D109" sqref="D109"/>
    </sheetView>
  </sheetViews>
  <sheetFormatPr baseColWidth="10" defaultRowHeight="12.75" x14ac:dyDescent="0.2"/>
  <sheetData>
    <row r="53" spans="8:8" x14ac:dyDescent="0.2">
      <c r="H53" s="9" t="s">
        <v>141</v>
      </c>
    </row>
    <row r="55" spans="8:8" x14ac:dyDescent="0.2">
      <c r="H55" s="7"/>
    </row>
    <row r="111" spans="8:8" x14ac:dyDescent="0.2">
      <c r="H111" s="8" t="s">
        <v>142</v>
      </c>
    </row>
  </sheetData>
  <phoneticPr fontId="0" type="noConversion"/>
  <pageMargins left="0.70866141732283472" right="0.31496062992125984" top="0.78740157480314965" bottom="0.78740157480314965" header="0.31496062992125984" footer="0.31496062992125984"/>
  <pageSetup paperSize="9" orientation="portrait" r:id="rId1"/>
  <headerFooter>
    <oddHeader>&amp;L&amp;"Arial,Fett"&amp;12Erläuterungen zur Mustertabelle zur parameterspezifischen Bestimmung des 
"Wertes der grundlegenden Charakterisierung eines Abfalls"</oddHeader>
    <oddFooter>&amp;L&amp;"Arial,Fett"&amp;K983895STOFFSTROMMANAGEMENT&amp;K000000, &amp;"Arial,Standard"&amp;K983895 &amp;K000000AVL GmbH
Hindenburgstraße 30, 71638 Ludwigsburg
deponien@avl-lb.de, www.avl-ludwigsburg.de&amp;R&amp;G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WgC - 1 bis 6 Analysen</vt:lpstr>
      <vt:lpstr>WgC - mehr als 6 Analysen (&lt;21)</vt:lpstr>
      <vt:lpstr>Erläuterung</vt:lpstr>
      <vt:lpstr>Erläuterung!Druckbereich</vt:lpstr>
      <vt:lpstr>'WgC - 1 bis 6 Analysen'!Druckbereich</vt:lpstr>
      <vt:lpstr>'WgC - mehr als 6 Analysen (&lt;21)'!Druckbereich</vt:lpstr>
    </vt:vector>
  </TitlesOfParts>
  <Company>Innenverwaltung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Falk (RPK)</dc:creator>
  <cp:lastModifiedBy>Gerwien, Bettina</cp:lastModifiedBy>
  <cp:lastPrinted>2016-07-07T06:46:05Z</cp:lastPrinted>
  <dcterms:created xsi:type="dcterms:W3CDTF">2012-01-16T08:07:20Z</dcterms:created>
  <dcterms:modified xsi:type="dcterms:W3CDTF">2016-07-07T06:58:26Z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-527051794</vt:i4>
  </property>
  <property fmtid="{D5CDD505-2E9C-101B-9397-08002B2CF9AE}" pid="3" name="_NewReviewCycle">
    <vt:lpwstr/>
  </property>
  <property fmtid="{D5CDD505-2E9C-101B-9397-08002B2CF9AE}" pid="4" name="_EmailSubject">
    <vt:lpwstr>WG: "offizielle Email" zum Thema Probenumfang</vt:lpwstr>
  </property>
  <property fmtid="{D5CDD505-2E9C-101B-9397-08002B2CF9AE}" pid="5" name="_AuthorEmail">
    <vt:lpwstr>Seval.Guersoy-Kizilyel@avl-lb.de</vt:lpwstr>
  </property>
  <property fmtid="{D5CDD505-2E9C-101B-9397-08002B2CF9AE}" pid="6" name="_AuthorEmailDisplayName">
    <vt:lpwstr>Guersoy-Kizilyel , Seval</vt:lpwstr>
  </property>
  <property fmtid="{D5CDD505-2E9C-101B-9397-08002B2CF9AE}" pid="7" name="_ReviewingToolsShownOnce">
    <vt:lpwstr/>
  </property>
</Properties>
</file>